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3049" documentId="13_ncr:1_{7BDBFFC3-D1B4-473D-ACE6-18578368EDB7}" xr6:coauthVersionLast="47" xr6:coauthVersionMax="47" xr10:uidLastSave="{0155C831-0BD3-4028-A389-CC4F37839A8D}"/>
  <bookViews>
    <workbookView xWindow="-110" yWindow="-110" windowWidth="19420" windowHeight="10300" xr2:uid="{00000000-000D-0000-FFFF-FFFF00000000}"/>
  </bookViews>
  <sheets>
    <sheet name="Indice" sheetId="121" r:id="rId1"/>
    <sheet name="Estadisticas 2025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2025'!$B$489:$G$496</definedName>
    <definedName name="AMPLIACION">#REF!</definedName>
    <definedName name="ANALISIS">#REF!</definedName>
    <definedName name="APROBACION">#REF!</definedName>
    <definedName name="_xlnm.Print_Area" localSheetId="1">'Estadisticas 2025'!$A$1:$Q$655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2025'!$1:$6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2025'!$A$1:$M$516</definedName>
    <definedName name="Z_935DF80A_C4A8_4072_AD95_467BACE55650_.wvu.PrintArea" localSheetId="0" hidden="1">Indice!$B$1:$B$31</definedName>
    <definedName name="Z_935DF80A_C4A8_4072_AD95_467BACE55650_.wvu.PrintTitles" localSheetId="1" hidden="1">'Estadisticas 2025'!$1:$6</definedName>
    <definedName name="Z_935DF80A_C4A8_4072_AD95_467BACE55650_.wvu.Rows" localSheetId="1" hidden="1">'Estadisticas 2025'!#REF!,'Estadisticas 2025'!#REF!,'Estadisticas 2025'!#REF!,'Estadisticas 2025'!#REF!,'Estadisticas 2025'!#REF!,'Estadisticas 2025'!$311:$311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65" i="130" l="1"/>
  <c r="N364" i="130"/>
  <c r="N361" i="130"/>
  <c r="N360" i="130"/>
  <c r="N359" i="130"/>
  <c r="N358" i="130"/>
  <c r="N357" i="130"/>
  <c r="N356" i="130"/>
  <c r="N355" i="130"/>
  <c r="N354" i="130"/>
  <c r="N352" i="130"/>
  <c r="N351" i="130"/>
  <c r="N350" i="130"/>
  <c r="N349" i="130"/>
  <c r="N348" i="130"/>
  <c r="N347" i="130"/>
  <c r="N346" i="130"/>
  <c r="N345" i="130"/>
  <c r="N344" i="130"/>
  <c r="N343" i="130"/>
  <c r="N342" i="130"/>
  <c r="L364" i="130"/>
  <c r="L360" i="130"/>
  <c r="L357" i="130"/>
  <c r="L355" i="130"/>
  <c r="L354" i="130"/>
  <c r="L353" i="130"/>
  <c r="L352" i="130"/>
  <c r="L351" i="130"/>
  <c r="L350" i="130"/>
  <c r="L349" i="130"/>
  <c r="L348" i="130"/>
  <c r="L347" i="130"/>
  <c r="L346" i="130"/>
  <c r="L345" i="130"/>
  <c r="L344" i="130"/>
  <c r="L343" i="130"/>
  <c r="L342" i="130"/>
  <c r="G366" i="130"/>
  <c r="G365" i="130"/>
  <c r="G364" i="130"/>
  <c r="G359" i="130"/>
  <c r="G358" i="130"/>
  <c r="G357" i="130"/>
  <c r="G356" i="130"/>
  <c r="G355" i="130"/>
  <c r="G354" i="130"/>
  <c r="G353" i="130"/>
  <c r="G351" i="130"/>
  <c r="G350" i="130"/>
  <c r="G349" i="130"/>
  <c r="G348" i="130"/>
  <c r="G347" i="130"/>
  <c r="G346" i="130"/>
  <c r="G345" i="130"/>
  <c r="G344" i="130"/>
  <c r="G343" i="130"/>
  <c r="G342" i="130"/>
  <c r="D366" i="130"/>
  <c r="D365" i="130"/>
  <c r="D364" i="130"/>
  <c r="D357" i="130"/>
  <c r="D356" i="130"/>
  <c r="D355" i="130"/>
  <c r="D354" i="130"/>
  <c r="D351" i="130"/>
  <c r="D350" i="130"/>
  <c r="D349" i="130"/>
  <c r="D348" i="130"/>
  <c r="D347" i="130"/>
  <c r="D346" i="130"/>
  <c r="D345" i="130"/>
  <c r="D344" i="130"/>
  <c r="D343" i="130"/>
  <c r="D342" i="130"/>
  <c r="G367" i="130" l="1"/>
  <c r="D367" i="130"/>
  <c r="C367" i="130"/>
  <c r="E342" i="130"/>
  <c r="D550" i="130" l="1"/>
  <c r="Y271" i="130"/>
  <c r="Y41" i="130" l="1"/>
  <c r="D484" i="130" l="1"/>
  <c r="C484" i="130"/>
  <c r="E482" i="130"/>
  <c r="E483" i="130"/>
  <c r="D452" i="130"/>
  <c r="C452" i="130"/>
  <c r="E451" i="130"/>
  <c r="F367" i="130"/>
  <c r="H366" i="130"/>
  <c r="E366" i="130" l="1"/>
  <c r="D271" i="130"/>
  <c r="D144" i="130" l="1"/>
  <c r="C144" i="130"/>
  <c r="D143" i="130"/>
  <c r="C143" i="130"/>
  <c r="D142" i="130"/>
  <c r="C142" i="130"/>
  <c r="Y147" i="130"/>
  <c r="Y135" i="130"/>
  <c r="X135" i="130"/>
  <c r="C247" i="130" l="1"/>
  <c r="E212" i="130"/>
  <c r="E247" i="130"/>
  <c r="E303" i="130"/>
  <c r="E427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50" i="130"/>
  <c r="E459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481" i="130"/>
  <c r="E531" i="130"/>
  <c r="E550" i="130"/>
  <c r="G200" i="130"/>
  <c r="H200" i="130"/>
  <c r="G210" i="130"/>
  <c r="H210" i="130"/>
  <c r="O210" i="130"/>
  <c r="G211" i="130"/>
  <c r="H211" i="130"/>
  <c r="O211" i="130"/>
  <c r="K212" i="130"/>
  <c r="M212" i="130"/>
  <c r="F303" i="130"/>
  <c r="G303" i="130"/>
  <c r="H303" i="130"/>
  <c r="H342" i="130"/>
  <c r="K366" i="130"/>
  <c r="L366" i="130"/>
  <c r="M366" i="130"/>
  <c r="N366" i="130"/>
  <c r="H451" i="130"/>
  <c r="I451" i="130"/>
  <c r="J459" i="130"/>
  <c r="J460" i="130"/>
  <c r="J461" i="130"/>
  <c r="J462" i="130"/>
  <c r="J463" i="130"/>
  <c r="J464" i="130"/>
  <c r="J465" i="130"/>
  <c r="J466" i="130"/>
  <c r="J467" i="130"/>
  <c r="J468" i="130"/>
  <c r="J469" i="130"/>
  <c r="J470" i="130"/>
  <c r="J471" i="130"/>
  <c r="J472" i="130"/>
  <c r="J473" i="130"/>
  <c r="J474" i="130"/>
  <c r="J475" i="130"/>
  <c r="J476" i="130"/>
  <c r="J477" i="130"/>
  <c r="J478" i="130"/>
  <c r="J479" i="130"/>
  <c r="J480" i="130"/>
  <c r="J481" i="130"/>
  <c r="J482" i="130"/>
  <c r="H483" i="130"/>
  <c r="I483" i="130"/>
  <c r="F531" i="130"/>
  <c r="F537" i="130" s="1"/>
  <c r="F550" i="130" s="1"/>
  <c r="E484" i="130" l="1"/>
  <c r="E452" i="130"/>
  <c r="H364" i="130"/>
  <c r="H360" i="130"/>
  <c r="H356" i="130"/>
  <c r="H352" i="130"/>
  <c r="H348" i="130"/>
  <c r="H344" i="130"/>
  <c r="J483" i="130"/>
  <c r="J451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7" i="130" l="1"/>
  <c r="C132" i="130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47" i="130" l="1"/>
  <c r="C303" i="130" l="1"/>
  <c r="D303" i="130"/>
  <c r="D230" i="130" l="1"/>
  <c r="C550" i="130" l="1"/>
  <c r="D640" i="130" l="1"/>
  <c r="C640" i="130"/>
  <c r="D328" i="130" l="1"/>
  <c r="C328" i="130"/>
  <c r="Y272" i="130" l="1"/>
  <c r="D531" i="130" l="1"/>
  <c r="C230" i="130" l="1"/>
  <c r="C212" i="130" l="1"/>
  <c r="C271" i="130" l="1"/>
  <c r="C54" i="130" l="1"/>
  <c r="P211" i="130" l="1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28" i="130"/>
  <c r="D130" i="130"/>
  <c r="D132" i="130"/>
  <c r="D146" i="130"/>
  <c r="D162" i="130"/>
  <c r="D200" i="130"/>
  <c r="C641" i="130"/>
  <c r="W632" i="130" l="1"/>
  <c r="X632" i="130"/>
  <c r="X633" i="130"/>
  <c r="X631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P210" i="130" l="1"/>
  <c r="Z246" i="130" l="1"/>
  <c r="C129" i="130" l="1"/>
  <c r="C130" i="130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7" i="130" l="1"/>
  <c r="C146" i="130"/>
  <c r="W634" i="130" l="1"/>
  <c r="W636" i="130"/>
  <c r="W633" i="130"/>
  <c r="X636" i="130"/>
  <c r="W635" i="130"/>
  <c r="X635" i="130"/>
  <c r="X634" i="130"/>
  <c r="X641" i="130"/>
  <c r="Y641" i="130"/>
  <c r="W631" i="130"/>
  <c r="W630" i="130"/>
  <c r="X627" i="130"/>
  <c r="X628" i="130"/>
  <c r="W627" i="130"/>
  <c r="X630" i="130"/>
  <c r="X629" i="130"/>
  <c r="W628" i="130"/>
  <c r="W629" i="130"/>
  <c r="AB641" i="130"/>
  <c r="AC641" i="130"/>
  <c r="Y94" i="130" l="1"/>
  <c r="X94" i="130"/>
  <c r="C128" i="130" l="1"/>
  <c r="X162" i="130" l="1"/>
  <c r="Y162" i="130"/>
  <c r="C531" i="130" l="1"/>
  <c r="Z274" i="130"/>
  <c r="X274" i="130"/>
  <c r="C274" i="130"/>
  <c r="Y273" i="130"/>
  <c r="D273" i="130" s="1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Y71" i="130"/>
  <c r="X71" i="130"/>
  <c r="Z41" i="130"/>
  <c r="U18" i="130"/>
  <c r="C114" i="130" l="1"/>
  <c r="C116" i="130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<sst xmlns="http://schemas.openxmlformats.org/spreadsheetml/2006/main" count="1966" uniqueCount="505">
  <si>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</si>
  <si>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</si>
  <si>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</si>
  <si>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</si>
  <si>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</si>
  <si>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</si>
  <si>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</si>
  <si>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</si>
  <si>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</si>
  <si>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</si>
  <si>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</si>
  <si>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</si>
  <si>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</si>
  <si>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</si>
  <si>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</si>
  <si>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</si>
  <si>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</si>
  <si>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</si>
  <si>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</si>
  <si>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</si>
  <si>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</si>
  <si>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</si>
  <si>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</si>
  <si>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</si>
  <si>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</si>
  <si>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</si>
  <si>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</si>
  <si>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</si>
  <si>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</si>
  <si>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</si>
  <si>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</si>
  <si>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</si>
  <si>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</si>
  <si>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</si>
  <si>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</si>
  <si>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</si>
  <si>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</si>
  <si>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</si>
  <si>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</si>
  <si>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</si>
  <si>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</si>
  <si>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</si>
  <si>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</si>
  <si>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</si>
  <si>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</si>
  <si>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</si>
  <si>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</si>
  <si>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</si>
  <si>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</si>
  <si>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</si>
  <si>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</si>
  <si>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</si>
  <si>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</si>
  <si>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</si>
  <si>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</si>
  <si>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</si>
  <si>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</si>
  <si>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</si>
  <si>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</si>
  <si>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</si>
  <si>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</si>
  <si>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</si>
  <si>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</si>
  <si>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</si>
  <si>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</si>
  <si>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</si>
  <si>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</si>
  <si>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</si>
  <si>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</si>
  <si>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</si>
  <si>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</si>
  <si>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</si>
  <si>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</si>
  <si>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</si>
  <si>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</si>
  <si>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</si>
  <si>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</si>
  <si>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</si>
  <si>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</si>
  <si>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</si>
  <si>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</si>
  <si>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</si>
  <si>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</si>
  <si>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</si>
  <si>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</si>
  <si>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</si>
  <si>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</si>
  <si>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</si>
  <si>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</si>
  <si>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</si>
  <si>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</si>
  <si>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</si>
  <si>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</si>
  <si>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</si>
  <si>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</si>
  <si>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</si>
  <si>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</si>
  <si>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</si>
  <si>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</si>
  <si>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</si>
  <si>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</si>
  <si>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</si>
  <si>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</si>
  <si>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</si>
  <si>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</si>
  <si>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</si>
  <si>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</si>
  <si>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</si>
  <si>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</si>
  <si>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</si>
  <si>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</si>
  <si>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</si>
  <si>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</si>
  <si>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</si>
  <si>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</si>
  <si>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</si>
  <si>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</si>
  <si>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</si>
  <si>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</si>
  <si>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</si>
  <si>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</si>
  <si>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</si>
  <si>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</si>
  <si>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</si>
  <si>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</si>
  <si>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</si>
  <si>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</si>
  <si>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</si>
  <si>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</si>
  <si>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</si>
  <si>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</si>
  <si>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</si>
  <si>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</si>
  <si>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</si>
  <si>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</si>
  <si>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</si>
  <si>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</si>
  <si>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</si>
  <si>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</si>
  <si>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</si>
  <si>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</si>
  <si>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</si>
  <si>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</si>
  <si>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</si>
  <si>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</si>
  <si>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</si>
  <si>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</si>
  <si>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</si>
  <si>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</si>
  <si>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</si>
  <si>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</si>
  <si>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</si>
  <si>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</si>
  <si>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</si>
  <si>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</si>
  <si>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</si>
  <si>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</si>
  <si>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</si>
  <si>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</si>
  <si>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</si>
  <si>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</si>
  <si>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</si>
  <si>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</si>
  <si>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</si>
  <si>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</si>
  <si>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</si>
  <si>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</si>
  <si>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</si>
  <si>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</si>
  <si>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</si>
  <si>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</si>
  <si>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</si>
  <si>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</si>
  <si>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</si>
  <si>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</si>
  <si>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</si>
  <si>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</si>
  <si>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</si>
  <si>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</si>
  <si>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</si>
  <si>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</si>
  <si>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</si>
  <si>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</si>
  <si>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</si>
  <si>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</si>
  <si>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</si>
  <si>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</si>
  <si>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</si>
  <si>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</si>
  <si>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</si>
  <si>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</si>
  <si>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</si>
  <si>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</si>
  <si>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</si>
  <si>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</si>
  <si>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</si>
  <si>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</si>
  <si>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</si>
  <si>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</si>
  <si>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</si>
  <si>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</si>
  <si>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</si>
  <si>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</si>
  <si>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</si>
  <si>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</si>
  <si>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</si>
  <si>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</si>
  <si>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</si>
  <si>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</si>
  <si>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</si>
  <si>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</si>
  <si>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</si>
  <si>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</si>
  <si>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</si>
  <si>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</si>
  <si>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</si>
  <si>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</si>
  <si>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</si>
  <si>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</si>
  <si>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</si>
  <si>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</si>
  <si>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</si>
  <si>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</si>
  <si>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</si>
  <si>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</si>
  <si>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</si>
  <si>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</si>
  <si>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</si>
  <si>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</si>
  <si>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</si>
  <si>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</si>
  <si>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</si>
  <si>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</si>
  <si>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</si>
  <si>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</si>
  <si>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</si>
  <si>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</si>
  <si>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</si>
  <si>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</si>
  <si>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</si>
  <si>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</si>
  <si>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</si>
  <si>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</si>
  <si>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</si>
  <si>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</si>
  <si>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</si>
  <si>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</si>
  <si>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</si>
  <si>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</si>
  <si>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</si>
  <si>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</si>
  <si>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</si>
  <si>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</si>
  <si>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</si>
  <si>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</si>
  <si>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</si>
  <si>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</si>
  <si>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</si>
  <si>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</si>
  <si>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</si>
  <si>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</si>
  <si>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</si>
  <si>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</si>
  <si>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</si>
  <si>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</si>
  <si>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</si>
  <si>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</si>
  <si>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</si>
  <si>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</si>
  <si>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</si>
  <si>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</si>
  <si>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</si>
  <si>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</si>
  <si>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</si>
  <si>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</si>
  <si>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</si>
  <si>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</si>
  <si>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</si>
  <si>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</si>
  <si>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</si>
  <si>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</si>
  <si>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</si>
  <si>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>LA COLONIA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</si>
  <si>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</si>
  <si>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</si>
  <si>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</si>
  <si>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</si>
  <si>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</si>
  <si>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</si>
  <si>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</si>
  <si>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</si>
  <si>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</si>
  <si>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</si>
  <si>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</si>
  <si>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</si>
  <si>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PALMIRA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</si>
  <si>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</si>
  <si>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</si>
  <si>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SANTA TERESITA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</si>
  <si>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</si>
  <si>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</si>
  <si>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</si>
  <si>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</si>
  <si>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</si>
  <si>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</si>
  <si>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</si>
  <si>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AGUAS CLARAS</t>
  </si>
  <si>
    <t>BATÁN</t>
  </si>
  <si>
    <t>LEPANTO</t>
  </si>
  <si>
    <t>KATIRA</t>
  </si>
  <si>
    <t>ZARCERO</t>
  </si>
  <si>
    <t>SAN PABLO</t>
  </si>
  <si>
    <t>20. Ejecución Presupuesto 2025 - Por programa de financiamiento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</si>
  <si>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</si>
  <si>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</si>
  <si>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</si>
  <si>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</si>
  <si>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</si>
  <si>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</si>
  <si>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</si>
  <si>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</si>
  <si>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</si>
  <si>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</si>
  <si>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</si>
  <si>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</si>
  <si>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Casos 2025-2024</t>
  </si>
  <si>
    <t>Monto 2025-2024</t>
  </si>
  <si>
    <t>COOPEANDE N°7 R.L.</t>
  </si>
  <si>
    <t xml:space="preserve"> COOPECAJA R.L.</t>
  </si>
  <si>
    <t xml:space="preserve"> CREDECOOP R.L.</t>
  </si>
  <si>
    <t>SAN PEDRO</t>
  </si>
  <si>
    <t>PUERTO VIEJO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</si>
  <si>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</si>
  <si>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</si>
  <si>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</si>
  <si>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</si>
  <si>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</si>
  <si>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</si>
  <si>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</si>
  <si>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GARABITO</t>
  </si>
  <si>
    <t>TARRAZÚ</t>
  </si>
  <si>
    <t>SAN MARCOS</t>
  </si>
  <si>
    <t>ACAPULCO</t>
  </si>
  <si>
    <t>IPÍS</t>
  </si>
  <si>
    <t>MORAVIA</t>
  </si>
  <si>
    <t>SAN JERÓNIMO</t>
  </si>
  <si>
    <t>SAN ISIDRO DE EL GENERAL</t>
  </si>
  <si>
    <t>PALMARES</t>
  </si>
  <si>
    <t>ESQUÍPULAS</t>
  </si>
  <si>
    <t>CUTRIS</t>
  </si>
  <si>
    <t>BAGACES</t>
  </si>
  <si>
    <t>BARRANCA</t>
  </si>
  <si>
    <t>VOLCÁN</t>
  </si>
  <si>
    <t>POTRERO GRANDE</t>
  </si>
  <si>
    <t>PAVÓN</t>
  </si>
  <si>
    <t>LAUREL</t>
  </si>
  <si>
    <t>PUERTO JIMÉNEZ</t>
  </si>
  <si>
    <t>CARRANDI</t>
  </si>
  <si>
    <t>POCORA</t>
  </si>
  <si>
    <t>ASERRÍ</t>
  </si>
  <si>
    <t>ACOSTA</t>
  </si>
  <si>
    <t>GUAITIL VILLA</t>
  </si>
  <si>
    <t>OROTINA</t>
  </si>
  <si>
    <t>BOLSÓN</t>
  </si>
  <si>
    <t>PURISCAL</t>
  </si>
  <si>
    <t>SAN RAFAEL</t>
  </si>
  <si>
    <t>PIEDADES NORTE</t>
  </si>
  <si>
    <t>VEINTISIETE DE ABRIL</t>
  </si>
  <si>
    <t>EL GENERAL</t>
  </si>
  <si>
    <t>RÍO NUEVO</t>
  </si>
  <si>
    <t>PAVONES</t>
  </si>
  <si>
    <t>TILARÁN</t>
  </si>
  <si>
    <t>SANTA ROSA</t>
  </si>
  <si>
    <t>CHIRA</t>
  </si>
  <si>
    <t>ESPARZA</t>
  </si>
  <si>
    <t>Del 01 de Enero al 28 de Febrero de 2025</t>
  </si>
  <si>
    <t>21. Bonos Formalizados Población LGTBI Por Propósito en el mes de Febrero de 2025</t>
  </si>
  <si>
    <t>DESAMPARADOS</t>
  </si>
  <si>
    <t>VUELTA DE JORCO</t>
  </si>
  <si>
    <t>POÁS</t>
  </si>
  <si>
    <t>AGUACALIENTE O SAN FRANCISCO</t>
  </si>
  <si>
    <t>GUADALUPE O ARENILLA</t>
  </si>
  <si>
    <t>DULCE NOMBRE</t>
  </si>
  <si>
    <t>LLANOS DE SANTA LUCÍA</t>
  </si>
  <si>
    <t>LA UNIÓN</t>
  </si>
  <si>
    <t>CONCEPCIÓN</t>
  </si>
  <si>
    <t>ALVARADO</t>
  </si>
  <si>
    <t>CERVANTES</t>
  </si>
  <si>
    <t>OREAMUNO</t>
  </si>
  <si>
    <t>SAN FRANCISCO</t>
  </si>
  <si>
    <t>LAS JUNTAS</t>
  </si>
  <si>
    <t>LA GARITA</t>
  </si>
  <si>
    <t>EL ROBLE</t>
  </si>
  <si>
    <t>SIQUIRRES</t>
  </si>
  <si>
    <t>FLORIDA</t>
  </si>
  <si>
    <t>MORA</t>
  </si>
  <si>
    <t>TABARCIA</t>
  </si>
  <si>
    <t>BRUNKA</t>
  </si>
  <si>
    <t>PEJIBAYE</t>
  </si>
  <si>
    <t>TAYUTIC</t>
  </si>
  <si>
    <t>SAN RAFAEL ARRIBA</t>
  </si>
  <si>
    <t>VÁZQUEZ DE CORONADO</t>
  </si>
  <si>
    <t>SAN VICENTE</t>
  </si>
  <si>
    <t>LA TRINIDAD</t>
  </si>
  <si>
    <t>GUÁCIMA</t>
  </si>
  <si>
    <t>SAN ROQUE</t>
  </si>
  <si>
    <t>PUENTE DE PIEDRA</t>
  </si>
  <si>
    <t>CARRILLOS</t>
  </si>
  <si>
    <t>QUESADA</t>
  </si>
  <si>
    <t>SANTA BÁRBARA</t>
  </si>
  <si>
    <t>JESÚS</t>
  </si>
  <si>
    <t>MOGOTE</t>
  </si>
  <si>
    <t>CARRILLO</t>
  </si>
  <si>
    <t>SARDINAL</t>
  </si>
  <si>
    <t>CAÑAS</t>
  </si>
  <si>
    <t>ATENAS</t>
  </si>
  <si>
    <t>COYOLAR</t>
  </si>
  <si>
    <t>BUENAVISTA</t>
  </si>
  <si>
    <t>CURUBANDÉ</t>
  </si>
  <si>
    <t>NICOYA</t>
  </si>
  <si>
    <t>SAN ANTONIO</t>
  </si>
  <si>
    <t>QUEBRADA HONDA</t>
  </si>
  <si>
    <t>SÁMARA</t>
  </si>
  <si>
    <t>FILADELFIA</t>
  </si>
  <si>
    <t>HOJANCHA</t>
  </si>
  <si>
    <t>MATAMBÚ</t>
  </si>
  <si>
    <t>AGUABUENA</t>
  </si>
  <si>
    <t>PALMICHAL</t>
  </si>
  <si>
    <t>VOLIO</t>
  </si>
  <si>
    <t>MONTE ROMO</t>
  </si>
  <si>
    <t>DIRIÁ</t>
  </si>
  <si>
    <t>SAN VITO</t>
  </si>
  <si>
    <t>RIVAS</t>
  </si>
  <si>
    <t>CAJÓN</t>
  </si>
  <si>
    <t>CÓBANO</t>
  </si>
  <si>
    <t>BIOLLEY</t>
  </si>
  <si>
    <t>PIEDRAS BLANCAS</t>
  </si>
  <si>
    <t>PITTIER</t>
  </si>
  <si>
    <t>TÁRCOLES</t>
  </si>
  <si>
    <t>FRAILES</t>
  </si>
  <si>
    <t>SAN LORENZO</t>
  </si>
  <si>
    <t>DOTA</t>
  </si>
  <si>
    <t>SANTA MARÍA</t>
  </si>
  <si>
    <t>PAVAS</t>
  </si>
  <si>
    <t>HATILLO</t>
  </si>
  <si>
    <t>SANTIAGO</t>
  </si>
  <si>
    <t>DULCE NOMBRE DE JESÚS</t>
  </si>
  <si>
    <t>RÍO SEGUNDO</t>
  </si>
  <si>
    <t>TAMBOR</t>
  </si>
  <si>
    <t>ÁNGELES</t>
  </si>
  <si>
    <t>ALFARO</t>
  </si>
  <si>
    <t>NARANJO</t>
  </si>
  <si>
    <t>CIRRÍ SUR</t>
  </si>
  <si>
    <t>LA GRANJA</t>
  </si>
  <si>
    <t>PITAL</t>
  </si>
  <si>
    <t>LA PALMERA</t>
  </si>
  <si>
    <t>POCOSOL</t>
  </si>
  <si>
    <t>SARCHÍ  (VALVERDE VEGA)</t>
  </si>
  <si>
    <t>SARCHÍ SUR</t>
  </si>
  <si>
    <t>DOS RÍOS</t>
  </si>
  <si>
    <t>EL AMPARO</t>
  </si>
  <si>
    <t>TUIS</t>
  </si>
  <si>
    <t>ULLOA</t>
  </si>
  <si>
    <t>LA FORTUNA</t>
  </si>
  <si>
    <t>GUACIMAL</t>
  </si>
  <si>
    <t>SAN JUAN GRANDE</t>
  </si>
  <si>
    <t>PALMAR</t>
  </si>
  <si>
    <t>RÍO BLANCO</t>
  </si>
  <si>
    <t>ALEGRÍA</t>
  </si>
  <si>
    <t>BRATSI</t>
  </si>
  <si>
    <t>TAPESCO</t>
  </si>
  <si>
    <t>SANTA RITA</t>
  </si>
  <si>
    <t>PILAS</t>
  </si>
  <si>
    <t>BELÉN</t>
  </si>
  <si>
    <t>CHIRRIPÓ</t>
  </si>
  <si>
    <t>VALLE LA ESTRELLA</t>
  </si>
  <si>
    <t>MACACONA</t>
  </si>
  <si>
    <t>ARENAL</t>
  </si>
  <si>
    <t>CANOAS</t>
  </si>
  <si>
    <t>PORVENIR</t>
  </si>
  <si>
    <t>MATAMA</t>
  </si>
  <si>
    <t>SAN MIGUEL</t>
  </si>
  <si>
    <t>MERCEDES SUR</t>
  </si>
  <si>
    <t>LA TIGRA</t>
  </si>
  <si>
    <t>YOLILLAL</t>
  </si>
  <si>
    <t>JUAN VIÑAS</t>
  </si>
  <si>
    <t>LA SUIZA</t>
  </si>
  <si>
    <t>CARTAGENA</t>
  </si>
  <si>
    <t>EL CAIRO</t>
  </si>
  <si>
    <t>CANGREJAL</t>
  </si>
  <si>
    <t>POSTULADOS ORDINARIOS  DEL 01/01/2025 AL 28/02/2025</t>
  </si>
  <si>
    <t>POSTULADOS ART 59  DEL 01/01/2025 AL 28/02/2025</t>
  </si>
  <si>
    <t>FEBRERO</t>
  </si>
  <si>
    <t>01/01/2025 al 28/02/2025</t>
  </si>
  <si>
    <t>01/01/2024 al 29/02/2024</t>
  </si>
  <si>
    <t>Formalizados Febrero 2025</t>
  </si>
  <si>
    <t>Formalizados Febrero 2024</t>
  </si>
  <si>
    <t>AL 28 DE FEBRERO 2025</t>
  </si>
  <si>
    <t>EMITIDOS DEL 01/01/2025 AL 28/02/2025</t>
  </si>
  <si>
    <t>FORMALIZADOS DEL 01/01/2025 AL 28/02/2025</t>
  </si>
  <si>
    <t>AL 29 DE FEBRERO 2024</t>
  </si>
  <si>
    <t>EMITIDOS DEL 01/01/2024 AL 29/02/2024</t>
  </si>
  <si>
    <t>FORMALIZADOS DEL 01/01/2024 AL 29/02/2024</t>
  </si>
  <si>
    <t>Acumulado: del 01/01/2025 al 28/02/2025</t>
  </si>
  <si>
    <t>Acumulado: del 01/01/2024 al 29/02/2024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</si>
</sst>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8" formatCode="&quot;₡&quot;#,##0.00;[Red]&quot;₡&quot;#,##0.00"/>
    <numFmt numFmtId="222" formatCode="_(* #,##0.0000_);_(* \(#,##0.0000\);_(* &quot;-&quot;??_);_(@_)"/>
  </numFmts>
  <fonts count="33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indexed="64"/>
      </bottom>
      <diagonal/>
    </border>
  </borders>
  <cellStyleXfs count="44411">
    <xf numFmtId="0" fontId="0" fillId="0" borderId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251" fillId="0" borderId="0"/>
    <xf numFmtId="0" fontId="250" fillId="0" borderId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53" fillId="0" borderId="0"/>
    <xf numFmtId="191" fontId="253" fillId="0" borderId="0" applyFont="0" applyFill="0" applyBorder="0" applyAlignment="0" applyProtection="0"/>
    <xf numFmtId="169" fontId="253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0" fontId="251" fillId="0" borderId="0"/>
    <xf numFmtId="0" fontId="247" fillId="0" borderId="0"/>
    <xf numFmtId="182" fontId="250" fillId="0" borderId="0" applyFont="0" applyFill="0" applyBorder="0" applyAlignment="0" applyProtection="0"/>
    <xf numFmtId="0" fontId="246" fillId="0" borderId="0"/>
    <xf numFmtId="0" fontId="245" fillId="0" borderId="0"/>
    <xf numFmtId="169" fontId="245" fillId="0" borderId="0" applyFont="0" applyFill="0" applyBorder="0" applyAlignment="0" applyProtection="0"/>
    <xf numFmtId="0" fontId="249" fillId="0" borderId="0"/>
    <xf numFmtId="0" fontId="244" fillId="0" borderId="0"/>
    <xf numFmtId="0" fontId="243" fillId="0" borderId="0"/>
    <xf numFmtId="0" fontId="242" fillId="0" borderId="0"/>
    <xf numFmtId="169" fontId="242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0" fontId="241" fillId="0" borderId="0"/>
    <xf numFmtId="0" fontId="249" fillId="0" borderId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250" fillId="0" borderId="0"/>
    <xf numFmtId="191" fontId="250" fillId="0" borderId="0" applyFont="0" applyFill="0" applyBorder="0" applyAlignment="0" applyProtection="0"/>
    <xf numFmtId="169" fontId="250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0" fillId="0" borderId="0"/>
    <xf numFmtId="169" fontId="240" fillId="0" borderId="0" applyFont="0" applyFill="0" applyBorder="0" applyAlignment="0" applyProtection="0"/>
    <xf numFmtId="0" fontId="260" fillId="0" borderId="0"/>
    <xf numFmtId="0" fontId="249" fillId="0" borderId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25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40" fillId="0" borderId="0"/>
    <xf numFmtId="0" fontId="240" fillId="0" borderId="0"/>
    <xf numFmtId="0" fontId="240" fillId="0" borderId="0"/>
    <xf numFmtId="169" fontId="240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8" fillId="0" borderId="0"/>
    <xf numFmtId="0" fontId="237" fillId="0" borderId="0"/>
    <xf numFmtId="0" fontId="236" fillId="0" borderId="0"/>
    <xf numFmtId="169" fontId="236" fillId="0" borderId="0" applyFont="0" applyFill="0" applyBorder="0" applyAlignment="0" applyProtection="0"/>
    <xf numFmtId="0" fontId="235" fillId="0" borderId="0"/>
    <xf numFmtId="0" fontId="251" fillId="0" borderId="0"/>
    <xf numFmtId="0" fontId="234" fillId="0" borderId="0"/>
    <xf numFmtId="9" fontId="250" fillId="0" borderId="0" applyFont="0" applyFill="0" applyBorder="0" applyAlignment="0" applyProtection="0"/>
    <xf numFmtId="0" fontId="233" fillId="0" borderId="0"/>
    <xf numFmtId="169" fontId="233" fillId="0" borderId="0" applyFont="0" applyFill="0" applyBorder="0" applyAlignment="0" applyProtection="0"/>
    <xf numFmtId="0" fontId="232" fillId="0" borderId="0"/>
    <xf numFmtId="0" fontId="231" fillId="0" borderId="0"/>
    <xf numFmtId="0" fontId="250" fillId="0" borderId="0"/>
    <xf numFmtId="0" fontId="261" fillId="0" borderId="0"/>
    <xf numFmtId="0" fontId="230" fillId="0" borderId="0"/>
    <xf numFmtId="0" fontId="249" fillId="0" borderId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5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69" fontId="230" fillId="0" borderId="0" applyFont="0" applyFill="0" applyBorder="0" applyAlignment="0" applyProtection="0"/>
    <xf numFmtId="0" fontId="230" fillId="0" borderId="0"/>
    <xf numFmtId="0" fontId="230" fillId="0" borderId="0"/>
    <xf numFmtId="0" fontId="250" fillId="0" borderId="0"/>
    <xf numFmtId="0" fontId="229" fillId="0" borderId="0"/>
    <xf numFmtId="169" fontId="229" fillId="0" borderId="0" applyFont="0" applyFill="0" applyBorder="0" applyAlignment="0" applyProtection="0"/>
    <xf numFmtId="0" fontId="261" fillId="0" borderId="0"/>
    <xf numFmtId="0" fontId="228" fillId="0" borderId="0"/>
    <xf numFmtId="169" fontId="228" fillId="0" borderId="0" applyFont="0" applyFill="0" applyBorder="0" applyAlignment="0" applyProtection="0"/>
    <xf numFmtId="0" fontId="262" fillId="0" borderId="0"/>
    <xf numFmtId="0" fontId="227" fillId="0" borderId="0"/>
    <xf numFmtId="0" fontId="263" fillId="0" borderId="0"/>
    <xf numFmtId="0" fontId="226" fillId="0" borderId="0"/>
    <xf numFmtId="0" fontId="225" fillId="0" borderId="0"/>
    <xf numFmtId="0" fontId="224" fillId="0" borderId="0"/>
    <xf numFmtId="169" fontId="224" fillId="0" borderId="0" applyFont="0" applyFill="0" applyBorder="0" applyAlignment="0" applyProtection="0"/>
    <xf numFmtId="0" fontId="223" fillId="0" borderId="0"/>
    <xf numFmtId="0" fontId="222" fillId="0" borderId="0"/>
    <xf numFmtId="169" fontId="222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50" fillId="0" borderId="0"/>
    <xf numFmtId="0" fontId="222" fillId="0" borderId="0"/>
    <xf numFmtId="169" fontId="222" fillId="0" borderId="0" applyFont="0" applyFill="0" applyBorder="0" applyAlignment="0" applyProtection="0"/>
    <xf numFmtId="0" fontId="250" fillId="0" borderId="0"/>
    <xf numFmtId="0" fontId="222" fillId="0" borderId="0"/>
    <xf numFmtId="0" fontId="250" fillId="0" borderId="0"/>
    <xf numFmtId="0" fontId="222" fillId="0" borderId="0"/>
    <xf numFmtId="0" fontId="222" fillId="0" borderId="0"/>
    <xf numFmtId="0" fontId="222" fillId="0" borderId="0"/>
    <xf numFmtId="169" fontId="222" fillId="0" borderId="0" applyFont="0" applyFill="0" applyBorder="0" applyAlignment="0" applyProtection="0"/>
    <xf numFmtId="0" fontId="222" fillId="0" borderId="0"/>
    <xf numFmtId="0" fontId="221" fillId="0" borderId="0"/>
    <xf numFmtId="169" fontId="221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66" fillId="0" borderId="0"/>
    <xf numFmtId="0" fontId="219" fillId="0" borderId="0"/>
    <xf numFmtId="0" fontId="218" fillId="0" borderId="0"/>
    <xf numFmtId="0" fontId="267" fillId="0" borderId="0"/>
    <xf numFmtId="169" fontId="218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50" fillId="0" borderId="0"/>
    <xf numFmtId="0" fontId="217" fillId="0" borderId="0"/>
    <xf numFmtId="0" fontId="217" fillId="0" borderId="0"/>
    <xf numFmtId="0" fontId="250" fillId="0" borderId="0"/>
    <xf numFmtId="169" fontId="217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169" fontId="216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09" fillId="0" borderId="0"/>
    <xf numFmtId="0" fontId="208" fillId="0" borderId="0"/>
    <xf numFmtId="0" fontId="268" fillId="0" borderId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0" fontId="205" fillId="0" borderId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3" borderId="0" applyNumberFormat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2" fillId="0" borderId="0"/>
    <xf numFmtId="169" fontId="202" fillId="0" borderId="0" applyFont="0" applyFill="0" applyBorder="0" applyAlignment="0" applyProtection="0"/>
    <xf numFmtId="0" fontId="201" fillId="0" borderId="0"/>
    <xf numFmtId="0" fontId="200" fillId="0" borderId="0"/>
    <xf numFmtId="168" fontId="200" fillId="0" borderId="0" applyFont="0" applyFill="0" applyBorder="0" applyAlignment="0" applyProtection="0"/>
    <xf numFmtId="169" fontId="200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168" fontId="200" fillId="0" borderId="0" applyFont="0" applyFill="0" applyBorder="0" applyAlignment="0" applyProtection="0"/>
    <xf numFmtId="169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5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3" borderId="0" applyNumberFormat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169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169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3" borderId="0" applyNumberFormat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169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168" fontId="198" fillId="0" borderId="0" applyFont="0" applyFill="0" applyBorder="0" applyAlignment="0" applyProtection="0"/>
    <xf numFmtId="169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3" borderId="0" applyNumberFormat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169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8" fillId="0" borderId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169" fontId="197" fillId="0" borderId="0" applyFont="0" applyFill="0" applyBorder="0" applyAlignment="0" applyProtection="0"/>
    <xf numFmtId="0" fontId="197" fillId="0" borderId="0"/>
    <xf numFmtId="0" fontId="196" fillId="0" borderId="0"/>
    <xf numFmtId="168" fontId="196" fillId="0" borderId="0" applyFont="0" applyFill="0" applyBorder="0" applyAlignment="0" applyProtection="0"/>
    <xf numFmtId="0" fontId="251" fillId="0" borderId="0"/>
    <xf numFmtId="0" fontId="195" fillId="0" borderId="0"/>
    <xf numFmtId="169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0" fontId="252" fillId="4" borderId="0" applyNumberFormat="0" applyBorder="0" applyAlignment="0" applyProtection="0"/>
    <xf numFmtId="0" fontId="252" fillId="5" borderId="0" applyNumberFormat="0" applyBorder="0" applyAlignment="0" applyProtection="0"/>
    <xf numFmtId="0" fontId="252" fillId="6" borderId="0" applyNumberFormat="0" applyBorder="0" applyAlignment="0" applyProtection="0"/>
    <xf numFmtId="0" fontId="252" fillId="7" borderId="0" applyNumberFormat="0" applyBorder="0" applyAlignment="0" applyProtection="0"/>
    <xf numFmtId="0" fontId="252" fillId="8" borderId="0" applyNumberFormat="0" applyBorder="0" applyAlignment="0" applyProtection="0"/>
    <xf numFmtId="0" fontId="252" fillId="9" borderId="0" applyNumberFormat="0" applyBorder="0" applyAlignment="0" applyProtection="0"/>
    <xf numFmtId="0" fontId="252" fillId="10" borderId="0" applyNumberFormat="0" applyBorder="0" applyAlignment="0" applyProtection="0"/>
    <xf numFmtId="0" fontId="252" fillId="11" borderId="0" applyNumberFormat="0" applyBorder="0" applyAlignment="0" applyProtection="0"/>
    <xf numFmtId="0" fontId="252" fillId="6" borderId="0" applyNumberFormat="0" applyBorder="0" applyAlignment="0" applyProtection="0"/>
    <xf numFmtId="0" fontId="252" fillId="9" borderId="0" applyNumberFormat="0" applyBorder="0" applyAlignment="0" applyProtection="0"/>
    <xf numFmtId="0" fontId="252" fillId="12" borderId="0" applyNumberFormat="0" applyBorder="0" applyAlignment="0" applyProtection="0"/>
    <xf numFmtId="0" fontId="269" fillId="13" borderId="0" applyNumberFormat="0" applyBorder="0" applyAlignment="0" applyProtection="0"/>
    <xf numFmtId="0" fontId="269" fillId="10" borderId="0" applyNumberFormat="0" applyBorder="0" applyAlignment="0" applyProtection="0"/>
    <xf numFmtId="0" fontId="269" fillId="11" borderId="0" applyNumberFormat="0" applyBorder="0" applyAlignment="0" applyProtection="0"/>
    <xf numFmtId="0" fontId="269" fillId="14" borderId="0" applyNumberFormat="0" applyBorder="0" applyAlignment="0" applyProtection="0"/>
    <xf numFmtId="0" fontId="269" fillId="15" borderId="0" applyNumberFormat="0" applyBorder="0" applyAlignment="0" applyProtection="0"/>
    <xf numFmtId="0" fontId="269" fillId="16" borderId="0" applyNumberFormat="0" applyBorder="0" applyAlignment="0" applyProtection="0"/>
    <xf numFmtId="0" fontId="270" fillId="17" borderId="0" applyNumberFormat="0" applyBorder="0" applyAlignment="0" applyProtection="0"/>
    <xf numFmtId="0" fontId="271" fillId="18" borderId="20" applyNumberFormat="0" applyAlignment="0" applyProtection="0"/>
    <xf numFmtId="0" fontId="272" fillId="19" borderId="21" applyNumberFormat="0" applyAlignment="0" applyProtection="0"/>
    <xf numFmtId="0" fontId="273" fillId="0" borderId="22" applyNumberFormat="0" applyFill="0" applyAlignment="0" applyProtection="0"/>
    <xf numFmtId="0" fontId="274" fillId="0" borderId="0" applyNumberFormat="0" applyFill="0" applyBorder="0" applyAlignment="0" applyProtection="0"/>
    <xf numFmtId="0" fontId="269" fillId="20" borderId="0" applyNumberFormat="0" applyBorder="0" applyAlignment="0" applyProtection="0"/>
    <xf numFmtId="0" fontId="269" fillId="21" borderId="0" applyNumberFormat="0" applyBorder="0" applyAlignment="0" applyProtection="0"/>
    <xf numFmtId="0" fontId="269" fillId="22" borderId="0" applyNumberFormat="0" applyBorder="0" applyAlignment="0" applyProtection="0"/>
    <xf numFmtId="0" fontId="269" fillId="14" borderId="0" applyNumberFormat="0" applyBorder="0" applyAlignment="0" applyProtection="0"/>
    <xf numFmtId="0" fontId="269" fillId="15" borderId="0" applyNumberFormat="0" applyBorder="0" applyAlignment="0" applyProtection="0"/>
    <xf numFmtId="0" fontId="269" fillId="23" borderId="0" applyNumberFormat="0" applyBorder="0" applyAlignment="0" applyProtection="0"/>
    <xf numFmtId="0" fontId="275" fillId="8" borderId="20" applyNumberFormat="0" applyAlignment="0" applyProtection="0"/>
    <xf numFmtId="0" fontId="276" fillId="5" borderId="0" applyNumberFormat="0" applyBorder="0" applyAlignment="0" applyProtection="0"/>
    <xf numFmtId="0" fontId="277" fillId="24" borderId="0" applyNumberFormat="0" applyBorder="0" applyAlignment="0" applyProtection="0"/>
    <xf numFmtId="0" fontId="250" fillId="25" borderId="19" applyNumberFormat="0" applyFont="0" applyAlignment="0" applyProtection="0"/>
    <xf numFmtId="0" fontId="278" fillId="18" borderId="23" applyNumberFormat="0" applyAlignment="0" applyProtection="0"/>
    <xf numFmtId="0" fontId="279" fillId="0" borderId="0" applyNumberFormat="0" applyFill="0" applyBorder="0" applyAlignment="0" applyProtection="0"/>
    <xf numFmtId="0" fontId="280" fillId="0" borderId="0" applyNumberFormat="0" applyFill="0" applyBorder="0" applyAlignment="0" applyProtection="0"/>
    <xf numFmtId="0" fontId="281" fillId="0" borderId="24" applyNumberFormat="0" applyFill="0" applyAlignment="0" applyProtection="0"/>
    <xf numFmtId="0" fontId="282" fillId="0" borderId="25" applyNumberFormat="0" applyFill="0" applyAlignment="0" applyProtection="0"/>
    <xf numFmtId="0" fontId="274" fillId="0" borderId="26" applyNumberFormat="0" applyFill="0" applyAlignment="0" applyProtection="0"/>
    <xf numFmtId="0" fontId="283" fillId="0" borderId="0" applyNumberFormat="0" applyFill="0" applyBorder="0" applyAlignment="0" applyProtection="0"/>
    <xf numFmtId="0" fontId="284" fillId="0" borderId="27" applyNumberFormat="0" applyFill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285" fillId="0" borderId="0"/>
    <xf numFmtId="169" fontId="285" fillId="0" borderId="0" applyFont="0" applyFill="0" applyBorder="0" applyAlignment="0" applyProtection="0"/>
    <xf numFmtId="0" fontId="178" fillId="0" borderId="0"/>
    <xf numFmtId="0" fontId="178" fillId="0" borderId="0"/>
    <xf numFmtId="9" fontId="285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1" fillId="0" borderId="0"/>
    <xf numFmtId="0" fontId="170" fillId="0" borderId="0"/>
    <xf numFmtId="168" fontId="170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251" fillId="0" borderId="0"/>
    <xf numFmtId="0" fontId="168" fillId="0" borderId="0"/>
    <xf numFmtId="168" fontId="168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251" fillId="0" borderId="0"/>
    <xf numFmtId="0" fontId="166" fillId="0" borderId="0"/>
    <xf numFmtId="168" fontId="166" fillId="0" borderId="0" applyFont="0" applyFill="0" applyBorder="0" applyAlignment="0" applyProtection="0"/>
    <xf numFmtId="0" fontId="165" fillId="0" borderId="0"/>
    <xf numFmtId="0" fontId="286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3" fillId="0" borderId="0"/>
    <xf numFmtId="0" fontId="287" fillId="0" borderId="0"/>
    <xf numFmtId="0" fontId="163" fillId="0" borderId="0"/>
    <xf numFmtId="0" fontId="162" fillId="0" borderId="0"/>
    <xf numFmtId="169" fontId="162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3" borderId="0" applyNumberFormat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250" fillId="25" borderId="29" applyNumberFormat="0" applyFont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0" fontId="162" fillId="0" borderId="0"/>
    <xf numFmtId="0" fontId="162" fillId="0" borderId="0"/>
    <xf numFmtId="9" fontId="250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250" fillId="0" borderId="0"/>
    <xf numFmtId="0" fontId="162" fillId="0" borderId="0"/>
    <xf numFmtId="169" fontId="162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0" fontId="250" fillId="0" borderId="0"/>
    <xf numFmtId="0" fontId="162" fillId="0" borderId="0"/>
    <xf numFmtId="0" fontId="289" fillId="0" borderId="0"/>
    <xf numFmtId="169" fontId="289" fillId="0" borderId="0" applyFont="0" applyFill="0" applyBorder="0" applyAlignment="0" applyProtection="0"/>
    <xf numFmtId="9" fontId="289" fillId="0" borderId="0" applyFont="0" applyFill="0" applyBorder="0" applyAlignment="0" applyProtection="0"/>
    <xf numFmtId="167" fontId="250" fillId="0" borderId="0" applyFont="0" applyFill="0" applyBorder="0" applyAlignment="0" applyProtection="0"/>
    <xf numFmtId="167" fontId="250" fillId="0" borderId="0" applyFont="0" applyFill="0" applyBorder="0" applyAlignment="0" applyProtection="0"/>
    <xf numFmtId="167" fontId="250" fillId="0" borderId="0" applyFont="0" applyFill="0" applyBorder="0" applyAlignment="0" applyProtection="0"/>
    <xf numFmtId="167" fontId="250" fillId="0" borderId="0" applyFont="0" applyFill="0" applyBorder="0" applyAlignment="0" applyProtection="0"/>
    <xf numFmtId="167" fontId="250" fillId="0" borderId="0" applyFont="0" applyFill="0" applyBorder="0" applyAlignment="0" applyProtection="0"/>
    <xf numFmtId="167" fontId="289" fillId="0" borderId="0" applyFont="0" applyFill="0" applyBorder="0" applyAlignment="0" applyProtection="0"/>
    <xf numFmtId="169" fontId="250" fillId="0" borderId="0" applyFont="0" applyFill="0" applyBorder="0" applyAlignment="0" applyProtection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41" fontId="249" fillId="0" borderId="0" applyFont="0" applyFill="0" applyBorder="0" applyAlignment="0" applyProtection="0"/>
    <xf numFmtId="0" fontId="161" fillId="0" borderId="0"/>
    <xf numFmtId="0" fontId="249" fillId="0" borderId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250" fillId="25" borderId="34" applyNumberFormat="0" applyFont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3" borderId="0" applyNumberFormat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250" fillId="25" borderId="34" applyNumberFormat="0" applyFont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9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250" fillId="0" borderId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167" fontId="250" fillId="0" borderId="0" applyFont="0" applyFill="0" applyBorder="0" applyAlignment="0" applyProtection="0"/>
    <xf numFmtId="41" fontId="249" fillId="0" borderId="0" applyFont="0" applyFill="0" applyBorder="0" applyAlignment="0" applyProtection="0"/>
    <xf numFmtId="169" fontId="249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249" fillId="0" borderId="0"/>
    <xf numFmtId="169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41" fontId="249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9" fontId="249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169" fontId="160" fillId="0" borderId="0" applyFont="0" applyFill="0" applyBorder="0" applyAlignment="0" applyProtection="0"/>
    <xf numFmtId="0" fontId="159" fillId="0" borderId="0"/>
    <xf numFmtId="0" fontId="158" fillId="0" borderId="0"/>
    <xf numFmtId="168" fontId="158" fillId="0" borderId="0" applyFont="0" applyFill="0" applyBorder="0" applyAlignment="0" applyProtection="0"/>
    <xf numFmtId="168" fontId="158" fillId="0" borderId="0" applyFont="0" applyFill="0" applyBorder="0" applyAlignment="0" applyProtection="0"/>
    <xf numFmtId="0" fontId="157" fillId="0" borderId="0"/>
    <xf numFmtId="0" fontId="156" fillId="0" borderId="0"/>
    <xf numFmtId="168" fontId="156" fillId="0" borderId="0" applyFont="0" applyFill="0" applyBorder="0" applyAlignment="0" applyProtection="0"/>
    <xf numFmtId="0" fontId="293" fillId="0" borderId="0" applyNumberFormat="0" applyFill="0" applyBorder="0" applyAlignment="0" applyProtection="0"/>
    <xf numFmtId="0" fontId="292" fillId="0" borderId="0"/>
    <xf numFmtId="169" fontId="292" fillId="0" borderId="0" applyFont="0" applyFill="0" applyBorder="0" applyAlignment="0" applyProtection="0"/>
    <xf numFmtId="9" fontId="292" fillId="0" borderId="0" applyFont="0" applyFill="0" applyBorder="0" applyAlignment="0" applyProtection="0"/>
    <xf numFmtId="0" fontId="155" fillId="0" borderId="0"/>
    <xf numFmtId="0" fontId="155" fillId="0" borderId="0"/>
    <xf numFmtId="0" fontId="154" fillId="0" borderId="0"/>
    <xf numFmtId="168" fontId="154" fillId="0" borderId="0" applyFont="0" applyFill="0" applyBorder="0" applyAlignment="0" applyProtection="0"/>
    <xf numFmtId="0" fontId="251" fillId="0" borderId="0"/>
    <xf numFmtId="0" fontId="251" fillId="0" borderId="0"/>
    <xf numFmtId="0" fontId="153" fillId="0" borderId="0"/>
    <xf numFmtId="0" fontId="153" fillId="0" borderId="0"/>
    <xf numFmtId="0" fontId="251" fillId="0" borderId="0"/>
    <xf numFmtId="0" fontId="153" fillId="0" borderId="0"/>
    <xf numFmtId="0" fontId="153" fillId="0" borderId="0"/>
    <xf numFmtId="169" fontId="153" fillId="0" borderId="0" applyFont="0" applyFill="0" applyBorder="0" applyAlignment="0" applyProtection="0"/>
    <xf numFmtId="0" fontId="251" fillId="0" borderId="0"/>
    <xf numFmtId="0" fontId="153" fillId="3" borderId="0" applyNumberFormat="0" applyBorder="0" applyAlignment="0" applyProtection="0"/>
    <xf numFmtId="0" fontId="152" fillId="0" borderId="0"/>
    <xf numFmtId="0" fontId="151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49" fillId="0" borderId="0"/>
    <xf numFmtId="0" fontId="148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6" fillId="3" borderId="0" applyNumberFormat="0" applyBorder="0" applyAlignment="0" applyProtection="0"/>
    <xf numFmtId="0" fontId="146" fillId="0" borderId="0"/>
    <xf numFmtId="0" fontId="252" fillId="17" borderId="0" applyNumberFormat="0" applyBorder="0" applyAlignment="0" applyProtection="0"/>
    <xf numFmtId="0" fontId="145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251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295" fillId="0" borderId="0"/>
    <xf numFmtId="0" fontId="142" fillId="0" borderId="0"/>
    <xf numFmtId="0" fontId="251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0" fillId="0" borderId="0"/>
    <xf numFmtId="0" fontId="139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5" fillId="0" borderId="0"/>
    <xf numFmtId="0" fontId="297" fillId="0" borderId="0"/>
    <xf numFmtId="169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0" fontId="298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3" fillId="0" borderId="0"/>
    <xf numFmtId="0" fontId="299" fillId="0" borderId="0"/>
    <xf numFmtId="16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0" fontId="251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1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29" fillId="0" borderId="0"/>
    <xf numFmtId="0" fontId="128" fillId="0" borderId="0"/>
    <xf numFmtId="169" fontId="128" fillId="0" borderId="0" applyFont="0" applyFill="0" applyBorder="0" applyAlignment="0" applyProtection="0"/>
    <xf numFmtId="0" fontId="128" fillId="3" borderId="0" applyNumberFormat="0" applyBorder="0" applyAlignment="0" applyProtection="0"/>
    <xf numFmtId="0" fontId="128" fillId="3" borderId="0" applyNumberFormat="0" applyBorder="0" applyAlignment="0" applyProtection="0"/>
    <xf numFmtId="0" fontId="128" fillId="3" borderId="0" applyNumberFormat="0" applyBorder="0" applyAlignment="0" applyProtection="0"/>
    <xf numFmtId="0" fontId="128" fillId="3" borderId="0" applyNumberFormat="0" applyBorder="0" applyAlignment="0" applyProtection="0"/>
    <xf numFmtId="0" fontId="128" fillId="3" borderId="0" applyNumberFormat="0" applyBorder="0" applyAlignment="0" applyProtection="0"/>
    <xf numFmtId="0" fontId="128" fillId="3" borderId="0" applyNumberFormat="0" applyBorder="0" applyAlignment="0" applyProtection="0"/>
    <xf numFmtId="0" fontId="128" fillId="3" borderId="0" applyNumberFormat="0" applyBorder="0" applyAlignment="0" applyProtection="0"/>
    <xf numFmtId="0" fontId="128" fillId="3" borderId="0" applyNumberFormat="0" applyBorder="0" applyAlignment="0" applyProtection="0"/>
    <xf numFmtId="0" fontId="271" fillId="18" borderId="40" applyNumberFormat="0" applyAlignment="0" applyProtection="0"/>
    <xf numFmtId="0" fontId="275" fillId="8" borderId="40" applyNumberFormat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9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278" fillId="18" borderId="41" applyNumberFormat="0" applyAlignment="0" applyProtection="0"/>
    <xf numFmtId="169" fontId="128" fillId="0" borderId="0" applyFont="0" applyFill="0" applyBorder="0" applyAlignment="0" applyProtection="0"/>
    <xf numFmtId="0" fontId="284" fillId="0" borderId="42" applyNumberFormat="0" applyFill="0" applyAlignment="0" applyProtection="0"/>
    <xf numFmtId="169" fontId="128" fillId="0" borderId="0" applyFont="0" applyFill="0" applyBorder="0" applyAlignment="0" applyProtection="0"/>
    <xf numFmtId="0" fontId="127" fillId="0" borderId="0"/>
    <xf numFmtId="169" fontId="127" fillId="0" borderId="0" applyFont="0" applyFill="0" applyBorder="0" applyAlignment="0" applyProtection="0"/>
    <xf numFmtId="9" fontId="127" fillId="0" borderId="0" applyFont="0" applyFill="0" applyBorder="0" applyAlignment="0" applyProtection="0"/>
    <xf numFmtId="0" fontId="127" fillId="3" borderId="0" applyNumberFormat="0" applyBorder="0" applyAlignment="0" applyProtection="0"/>
    <xf numFmtId="0" fontId="250" fillId="25" borderId="37" applyNumberFormat="0" applyFont="0" applyAlignment="0" applyProtection="0"/>
    <xf numFmtId="0" fontId="301" fillId="0" borderId="0"/>
    <xf numFmtId="16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5" fillId="0" borderId="0"/>
    <xf numFmtId="0" fontId="302" fillId="0" borderId="0"/>
    <xf numFmtId="169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303" fillId="0" borderId="0"/>
    <xf numFmtId="169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123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1" fillId="0" borderId="0"/>
    <xf numFmtId="0" fontId="304" fillId="0" borderId="0"/>
    <xf numFmtId="169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0" fontId="120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251" fillId="0" borderId="0"/>
    <xf numFmtId="0" fontId="305" fillId="0" borderId="0"/>
    <xf numFmtId="169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9" fontId="250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306" fillId="0" borderId="0"/>
    <xf numFmtId="0" fontId="115" fillId="0" borderId="0"/>
    <xf numFmtId="169" fontId="250" fillId="0" borderId="0" applyFont="0" applyFill="0" applyBorder="0" applyAlignment="0" applyProtection="0"/>
    <xf numFmtId="169" fontId="250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307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25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0" fillId="0" borderId="0"/>
    <xf numFmtId="0" fontId="110" fillId="0" borderId="0"/>
    <xf numFmtId="0" fontId="110" fillId="0" borderId="0"/>
    <xf numFmtId="0" fontId="308" fillId="0" borderId="0"/>
    <xf numFmtId="169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0" fontId="313" fillId="0" borderId="0"/>
    <xf numFmtId="0" fontId="313" fillId="0" borderId="0"/>
    <xf numFmtId="169" fontId="109" fillId="0" borderId="0" applyFont="0" applyFill="0" applyBorder="0" applyAlignment="0" applyProtection="0"/>
    <xf numFmtId="0" fontId="109" fillId="0" borderId="0"/>
    <xf numFmtId="169" fontId="108" fillId="0" borderId="0" applyFont="0" applyFill="0" applyBorder="0" applyAlignment="0" applyProtection="0"/>
    <xf numFmtId="0" fontId="108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317" fillId="0" borderId="0"/>
    <xf numFmtId="169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106" fillId="0" borderId="0"/>
    <xf numFmtId="0" fontId="105" fillId="0" borderId="0"/>
    <xf numFmtId="0" fontId="105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319" fillId="0" borderId="0"/>
    <xf numFmtId="169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169" fontId="249" fillId="0" borderId="0" applyFont="0" applyFill="0" applyBorder="0" applyAlignment="0" applyProtection="0"/>
    <xf numFmtId="0" fontId="249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320" fillId="0" borderId="0"/>
    <xf numFmtId="169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321" fillId="0" borderId="0"/>
    <xf numFmtId="169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169" fontId="321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322" fillId="0" borderId="0"/>
    <xf numFmtId="169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206" fontId="323" fillId="0" borderId="0" applyFont="0" applyFill="0" applyBorder="0" applyAlignment="0" applyProtection="0"/>
    <xf numFmtId="191" fontId="250" fillId="0" borderId="0" applyFont="0" applyFill="0" applyBorder="0" applyAlignment="0" applyProtection="0"/>
    <xf numFmtId="167" fontId="250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50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50" fillId="0" borderId="0" applyFont="0" applyFill="0" applyBorder="0" applyAlignment="0" applyProtection="0"/>
    <xf numFmtId="0" fontId="250" fillId="0" borderId="0"/>
    <xf numFmtId="0" fontId="101" fillId="0" borderId="0"/>
    <xf numFmtId="0" fontId="250" fillId="0" borderId="0"/>
    <xf numFmtId="0" fontId="250" fillId="0" borderId="0"/>
    <xf numFmtId="0" fontId="250" fillId="0" borderId="0"/>
    <xf numFmtId="0" fontId="251" fillId="0" borderId="0"/>
    <xf numFmtId="0" fontId="250" fillId="0" borderId="0"/>
    <xf numFmtId="9" fontId="323" fillId="0" borderId="0" applyFont="0" applyFill="0" applyBorder="0" applyAlignment="0" applyProtection="0"/>
    <xf numFmtId="0" fontId="251" fillId="0" borderId="0"/>
    <xf numFmtId="0" fontId="324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207" fontId="250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169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250" fillId="0" borderId="0"/>
    <xf numFmtId="0" fontId="97" fillId="0" borderId="0"/>
    <xf numFmtId="0" fontId="250" fillId="0" borderId="0"/>
    <xf numFmtId="9" fontId="97" fillId="0" borderId="0" applyFont="0" applyFill="0" applyBorder="0" applyAlignment="0" applyProtection="0"/>
    <xf numFmtId="169" fontId="97" fillId="0" borderId="0" applyFont="0" applyFill="0" applyBorder="0" applyAlignment="0" applyProtection="0"/>
    <xf numFmtId="0" fontId="96" fillId="0" borderId="0"/>
    <xf numFmtId="169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95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326" fillId="0" borderId="0"/>
    <xf numFmtId="169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251" fillId="0" borderId="0"/>
    <xf numFmtId="0" fontId="328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43" fontId="89" fillId="0" borderId="0" applyFont="0" applyFill="0" applyBorder="0" applyAlignment="0" applyProtection="0"/>
    <xf numFmtId="0" fontId="326" fillId="0" borderId="0"/>
    <xf numFmtId="169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0" fontId="88" fillId="0" borderId="0"/>
    <xf numFmtId="168" fontId="88" fillId="0" borderId="0" applyFont="0" applyFill="0" applyBorder="0" applyAlignment="0" applyProtection="0"/>
    <xf numFmtId="0" fontId="88" fillId="0" borderId="0"/>
    <xf numFmtId="43" fontId="88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329" fillId="0" borderId="0"/>
    <xf numFmtId="169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0" fontId="85" fillId="0" borderId="0"/>
    <xf numFmtId="169" fontId="85" fillId="0" borderId="0" applyFont="0" applyFill="0" applyBorder="0" applyAlignment="0" applyProtection="0"/>
    <xf numFmtId="0" fontId="250" fillId="0" borderId="0"/>
    <xf numFmtId="0" fontId="331" fillId="0" borderId="0"/>
    <xf numFmtId="169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84" fillId="0" borderId="0"/>
    <xf numFmtId="169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169" fontId="82" fillId="0" borderId="0" applyFont="0" applyFill="0" applyBorder="0" applyAlignment="0" applyProtection="0"/>
    <xf numFmtId="0" fontId="81" fillId="0" borderId="0"/>
    <xf numFmtId="169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332" fillId="0" borderId="0"/>
    <xf numFmtId="169" fontId="332" fillId="0" borderId="0" applyFont="0" applyFill="0" applyBorder="0" applyAlignment="0" applyProtection="0"/>
    <xf numFmtId="9" fontId="332" fillId="0" borderId="0" applyFont="0" applyFill="0" applyBorder="0" applyAlignment="0" applyProtection="0"/>
    <xf numFmtId="0" fontId="79" fillId="0" borderId="0"/>
    <xf numFmtId="169" fontId="79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250" fillId="0" borderId="0"/>
    <xf numFmtId="0" fontId="77" fillId="0" borderId="0"/>
    <xf numFmtId="43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0" fontId="76" fillId="0" borderId="0"/>
    <xf numFmtId="169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43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5" fillId="0" borderId="0"/>
    <xf numFmtId="16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169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9" fontId="73" fillId="0" borderId="0" applyFont="0" applyFill="0" applyBorder="0" applyAlignment="0" applyProtection="0"/>
    <xf numFmtId="169" fontId="250" fillId="0" borderId="0" applyFont="0" applyFill="0" applyBorder="0" applyAlignment="0" applyProtection="0"/>
    <xf numFmtId="0" fontId="72" fillId="0" borderId="0"/>
    <xf numFmtId="169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9" fontId="72" fillId="0" borderId="0" applyFont="0" applyFill="0" applyBorder="0" applyAlignment="0" applyProtection="0"/>
    <xf numFmtId="0" fontId="71" fillId="0" borderId="0"/>
    <xf numFmtId="9" fontId="71" fillId="0" borderId="0" applyFont="0" applyFill="0" applyBorder="0" applyAlignment="0" applyProtection="0"/>
    <xf numFmtId="0" fontId="70" fillId="0" borderId="0"/>
    <xf numFmtId="169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169" fontId="69" fillId="0" borderId="0" applyFont="0" applyFill="0" applyBorder="0" applyAlignment="0" applyProtection="0"/>
    <xf numFmtId="0" fontId="68" fillId="0" borderId="0"/>
    <xf numFmtId="9" fontId="68" fillId="0" borderId="0" applyFont="0" applyFill="0" applyBorder="0" applyAlignment="0" applyProtection="0"/>
    <xf numFmtId="0" fontId="67" fillId="0" borderId="0"/>
    <xf numFmtId="168" fontId="67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169" fontId="66" fillId="0" borderId="0" applyFont="0" applyFill="0" applyBorder="0" applyAlignment="0" applyProtection="0"/>
    <xf numFmtId="168" fontId="66" fillId="0" borderId="0" applyFont="0" applyFill="0" applyBorder="0" applyAlignment="0" applyProtection="0"/>
    <xf numFmtId="0" fontId="66" fillId="0" borderId="0"/>
    <xf numFmtId="0" fontId="66" fillId="0" borderId="0"/>
    <xf numFmtId="9" fontId="66" fillId="0" borderId="0" applyFont="0" applyFill="0" applyBorder="0" applyAlignment="0" applyProtection="0"/>
    <xf numFmtId="0" fontId="65" fillId="0" borderId="0"/>
    <xf numFmtId="168" fontId="65" fillId="0" borderId="0" applyFont="0" applyFill="0" applyBorder="0" applyAlignment="0" applyProtection="0"/>
    <xf numFmtId="0" fontId="64" fillId="0" borderId="0"/>
    <xf numFmtId="16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0" fontId="64" fillId="0" borderId="0"/>
    <xf numFmtId="0" fontId="64" fillId="0" borderId="0"/>
    <xf numFmtId="0" fontId="62" fillId="0" borderId="0"/>
    <xf numFmtId="9" fontId="62" fillId="0" borderId="0" applyFont="0" applyFill="0" applyBorder="0" applyAlignment="0" applyProtection="0"/>
    <xf numFmtId="0" fontId="61" fillId="0" borderId="0"/>
    <xf numFmtId="168" fontId="61" fillId="0" borderId="0" applyFont="0" applyFill="0" applyBorder="0" applyAlignment="0" applyProtection="0"/>
    <xf numFmtId="0" fontId="61" fillId="0" borderId="0"/>
    <xf numFmtId="0" fontId="61" fillId="0" borderId="0"/>
    <xf numFmtId="0" fontId="332" fillId="0" borderId="0"/>
    <xf numFmtId="169" fontId="332" fillId="0" borderId="0" applyFont="0" applyFill="0" applyBorder="0" applyAlignment="0" applyProtection="0"/>
    <xf numFmtId="0" fontId="61" fillId="0" borderId="0"/>
    <xf numFmtId="9" fontId="332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60" fillId="0" borderId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0" fontId="59" fillId="0" borderId="0"/>
    <xf numFmtId="9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168" fontId="58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0" fontId="57" fillId="0" borderId="0"/>
    <xf numFmtId="9" fontId="250" fillId="0" borderId="0" applyFont="0" applyFill="0" applyBorder="0" applyAlignment="0" applyProtection="0"/>
    <xf numFmtId="43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0" fontId="57" fillId="0" borderId="0"/>
    <xf numFmtId="0" fontId="57" fillId="0" borderId="0"/>
    <xf numFmtId="9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0" fontId="56" fillId="0" borderId="0"/>
    <xf numFmtId="43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0" fontId="55" fillId="0" borderId="0"/>
    <xf numFmtId="9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3" fillId="0" borderId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0" fontId="52" fillId="0" borderId="0"/>
    <xf numFmtId="169" fontId="52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1" fillId="0" borderId="0"/>
    <xf numFmtId="43" fontId="51" fillId="0" borderId="0" applyFont="0" applyFill="0" applyBorder="0" applyAlignment="0" applyProtection="0"/>
    <xf numFmtId="0" fontId="337" fillId="0" borderId="0"/>
    <xf numFmtId="169" fontId="337" fillId="0" borderId="0" applyFont="0" applyFill="0" applyBorder="0" applyAlignment="0" applyProtection="0"/>
    <xf numFmtId="9" fontId="337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43" fontId="250" fillId="0" borderId="0" applyFont="0" applyFill="0" applyBorder="0" applyAlignment="0" applyProtection="0"/>
    <xf numFmtId="0" fontId="49" fillId="0" borderId="0"/>
    <xf numFmtId="168" fontId="49" fillId="0" borderId="0" applyFont="0" applyFill="0" applyBorder="0" applyAlignment="0" applyProtection="0"/>
    <xf numFmtId="0" fontId="49" fillId="0" borderId="0"/>
    <xf numFmtId="0" fontId="49" fillId="0" borderId="0"/>
    <xf numFmtId="0" fontId="48" fillId="0" borderId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0" fontId="47" fillId="0" borderId="0"/>
    <xf numFmtId="169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0" fontId="47" fillId="0" borderId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0" fontId="44" fillId="0" borderId="0"/>
    <xf numFmtId="168" fontId="44" fillId="0" borderId="0" applyFont="0" applyFill="0" applyBorder="0" applyAlignment="0" applyProtection="0"/>
    <xf numFmtId="0" fontId="44" fillId="0" borderId="0"/>
    <xf numFmtId="0" fontId="44" fillId="0" borderId="0"/>
    <xf numFmtId="0" fontId="43" fillId="0" borderId="0"/>
    <xf numFmtId="9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0" fontId="42" fillId="0" borderId="0"/>
    <xf numFmtId="0" fontId="42" fillId="0" borderId="0"/>
    <xf numFmtId="168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0" fontId="39" fillId="0" borderId="0"/>
    <xf numFmtId="168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0" fontId="35" fillId="0" borderId="0"/>
    <xf numFmtId="168" fontId="35" fillId="0" borderId="0" applyFont="0" applyFill="0" applyBorder="0" applyAlignment="0" applyProtection="0"/>
    <xf numFmtId="0" fontId="35" fillId="0" borderId="0"/>
    <xf numFmtId="0" fontId="35" fillId="0" borderId="0"/>
    <xf numFmtId="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169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0" fillId="0" borderId="0"/>
    <xf numFmtId="169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29" fillId="0" borderId="0"/>
    <xf numFmtId="0" fontId="28" fillId="0" borderId="0"/>
    <xf numFmtId="168" fontId="28" fillId="0" borderId="0" applyFont="0" applyFill="0" applyBorder="0" applyAlignment="0" applyProtection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5" fillId="0" borderId="0"/>
    <xf numFmtId="169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25" fillId="0" borderId="0"/>
    <xf numFmtId="0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3" fillId="0" borderId="0"/>
    <xf numFmtId="169" fontId="23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0" fontId="22" fillId="0" borderId="0"/>
    <xf numFmtId="0" fontId="21" fillId="0" borderId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8" fillId="0" borderId="0"/>
    <xf numFmtId="169" fontId="18" fillId="0" borderId="0" applyFont="0" applyFill="0" applyBorder="0" applyAlignment="0" applyProtection="0"/>
    <xf numFmtId="0" fontId="17" fillId="0" borderId="0"/>
    <xf numFmtId="169" fontId="17" fillId="0" borderId="0" applyFont="0" applyFill="0" applyBorder="0" applyAlignment="0" applyProtection="0"/>
    <xf numFmtId="0" fontId="16" fillId="0" borderId="0"/>
    <xf numFmtId="168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337" fillId="0" borderId="0" applyFont="0" applyFill="0" applyBorder="0" applyAlignment="0" applyProtection="0"/>
    <xf numFmtId="43" fontId="250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2" fillId="0" borderId="0"/>
    <xf numFmtId="0" fontId="11" fillId="0" borderId="0"/>
    <xf numFmtId="168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0" fillId="0" borderId="0"/>
    <xf numFmtId="0" fontId="9" fillId="0" borderId="0"/>
    <xf numFmtId="168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6" fillId="0" borderId="0"/>
    <xf numFmtId="0" fontId="5" fillId="0" borderId="0"/>
    <xf numFmtId="168" fontId="5" fillId="0" borderId="0" applyFont="0" applyFill="0" applyBorder="0" applyAlignment="0" applyProtection="0"/>
    <xf numFmtId="0" fontId="5" fillId="0" borderId="0"/>
    <xf numFmtId="0" fontId="337" fillId="0" borderId="0"/>
    <xf numFmtId="0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38" fillId="0" borderId="0"/>
    <xf numFmtId="43" fontId="338" fillId="0" borderId="0" applyFont="0" applyFill="0" applyBorder="0" applyAlignment="0" applyProtection="0"/>
    <xf numFmtId="43" fontId="250" fillId="0" borderId="0" applyFont="0" applyFill="0" applyBorder="0" applyAlignment="0" applyProtection="0"/>
    <xf numFmtId="43" fontId="250" fillId="0" borderId="0" applyFont="0" applyFill="0" applyBorder="0" applyAlignment="0" applyProtection="0"/>
    <xf numFmtId="43" fontId="250" fillId="0" borderId="0" applyFont="0" applyFill="0" applyBorder="0" applyAlignment="0" applyProtection="0"/>
    <xf numFmtId="9" fontId="338" fillId="0" borderId="0" applyFont="0" applyFill="0" applyBorder="0" applyAlignment="0" applyProtection="0"/>
    <xf numFmtId="43" fontId="338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</cellStyleXfs>
  <cellXfs count="719">
    <xf numFmtId="0" fontId="0" fillId="0" borderId="0" xfId="0"/>
    <xf numFmtId="0" fontId="256" fillId="0" borderId="0" xfId="0" applyFont="1" applyAlignment="1">
      <alignment horizontal="centerContinuous" vertical="center"/>
    </xf>
    <xf numFmtId="0" fontId="257" fillId="0" borderId="0" xfId="0" applyFont="1" applyAlignment="1">
      <alignment vertical="center"/>
    </xf>
    <xf numFmtId="0" fontId="256" fillId="0" borderId="0" xfId="0" applyFont="1" applyAlignment="1">
      <alignment horizontal="center" vertical="center"/>
    </xf>
    <xf numFmtId="0" fontId="256" fillId="0" borderId="0" xfId="0" applyFont="1" applyAlignment="1">
      <alignment horizontal="right" vertical="center" wrapText="1"/>
    </xf>
    <xf numFmtId="4" fontId="256" fillId="0" borderId="0" xfId="0" applyNumberFormat="1" applyFont="1" applyAlignment="1">
      <alignment vertical="center"/>
    </xf>
    <xf numFmtId="174" fontId="256" fillId="0" borderId="0" xfId="0" applyNumberFormat="1" applyFont="1" applyAlignment="1">
      <alignment vertical="center"/>
    </xf>
    <xf numFmtId="4" fontId="256" fillId="0" borderId="0" xfId="5" applyNumberFormat="1" applyFont="1" applyFill="1" applyBorder="1" applyAlignment="1">
      <alignment vertical="center"/>
    </xf>
    <xf numFmtId="174" fontId="256" fillId="0" borderId="0" xfId="0" applyNumberFormat="1" applyFont="1" applyAlignment="1">
      <alignment horizontal="center" vertical="center"/>
    </xf>
    <xf numFmtId="49" fontId="256" fillId="0" borderId="0" xfId="0" applyNumberFormat="1" applyFont="1" applyAlignment="1">
      <alignment horizontal="centerContinuous" vertical="center"/>
    </xf>
    <xf numFmtId="176" fontId="256" fillId="0" borderId="0" xfId="0" applyNumberFormat="1" applyFont="1" applyAlignment="1">
      <alignment vertical="center"/>
    </xf>
    <xf numFmtId="0" fontId="256" fillId="0" borderId="0" xfId="4" applyFont="1" applyAlignment="1">
      <alignment vertical="center"/>
    </xf>
    <xf numFmtId="0" fontId="256" fillId="0" borderId="0" xfId="0" applyFont="1" applyAlignment="1">
      <alignment horizontal="left" vertical="center"/>
    </xf>
    <xf numFmtId="0" fontId="256" fillId="0" borderId="0" xfId="0" applyFont="1" applyAlignment="1">
      <alignment horizontal="left" vertical="center" wrapText="1"/>
    </xf>
    <xf numFmtId="176" fontId="264" fillId="0" borderId="0" xfId="0" applyNumberFormat="1" applyFont="1" applyAlignment="1">
      <alignment vertical="center"/>
    </xf>
    <xf numFmtId="49" fontId="256" fillId="0" borderId="0" xfId="0" applyNumberFormat="1" applyFont="1" applyAlignment="1">
      <alignment vertical="center"/>
    </xf>
    <xf numFmtId="170" fontId="256" fillId="0" borderId="0" xfId="1" applyNumberFormat="1" applyFont="1" applyFill="1" applyAlignment="1">
      <alignment vertical="center"/>
    </xf>
    <xf numFmtId="10" fontId="256" fillId="0" borderId="0" xfId="2" applyNumberFormat="1" applyFont="1" applyFill="1" applyAlignment="1">
      <alignment vertical="center"/>
    </xf>
    <xf numFmtId="173" fontId="256" fillId="0" borderId="0" xfId="0" applyNumberFormat="1" applyFont="1" applyAlignment="1">
      <alignment vertical="center"/>
    </xf>
    <xf numFmtId="0" fontId="256" fillId="0" borderId="0" xfId="0" applyFont="1" applyAlignment="1">
      <alignment vertical="center"/>
    </xf>
    <xf numFmtId="169" fontId="256" fillId="0" borderId="0" xfId="1" applyFont="1" applyFill="1" applyBorder="1" applyAlignment="1">
      <alignment horizontal="right" vertical="center" wrapText="1"/>
    </xf>
    <xf numFmtId="180" fontId="256" fillId="0" borderId="0" xfId="0" applyNumberFormat="1" applyFont="1" applyAlignment="1">
      <alignment vertical="center"/>
    </xf>
    <xf numFmtId="169" fontId="256" fillId="0" borderId="0" xfId="1" applyFont="1" applyFill="1" applyAlignment="1">
      <alignment vertical="center"/>
    </xf>
    <xf numFmtId="169" fontId="256" fillId="0" borderId="0" xfId="1" applyFont="1" applyFill="1" applyBorder="1" applyAlignment="1">
      <alignment vertical="center"/>
    </xf>
    <xf numFmtId="169" fontId="256" fillId="0" borderId="0" xfId="0" applyNumberFormat="1" applyFont="1" applyAlignment="1">
      <alignment vertical="center"/>
    </xf>
    <xf numFmtId="0" fontId="264" fillId="0" borderId="0" xfId="0" applyFont="1" applyAlignment="1">
      <alignment vertical="center"/>
    </xf>
    <xf numFmtId="49" fontId="264" fillId="0" borderId="0" xfId="0" applyNumberFormat="1" applyFont="1" applyAlignment="1">
      <alignment vertical="center"/>
    </xf>
    <xf numFmtId="0" fontId="264" fillId="0" borderId="0" xfId="0" applyFont="1" applyAlignment="1">
      <alignment horizontal="center" vertical="center"/>
    </xf>
    <xf numFmtId="170" fontId="256" fillId="0" borderId="0" xfId="1" applyNumberFormat="1" applyFont="1" applyFill="1" applyBorder="1" applyAlignment="1">
      <alignment vertical="center"/>
    </xf>
    <xf numFmtId="0" fontId="256" fillId="0" borderId="0" xfId="0" applyFont="1" applyAlignment="1">
      <alignment vertical="center" wrapText="1"/>
    </xf>
    <xf numFmtId="4" fontId="256" fillId="0" borderId="0" xfId="0" applyNumberFormat="1" applyFont="1" applyAlignment="1">
      <alignment horizontal="center" vertical="center"/>
    </xf>
    <xf numFmtId="177" fontId="256" fillId="0" borderId="0" xfId="0" applyNumberFormat="1" applyFont="1" applyAlignment="1">
      <alignment horizontal="left" vertical="center"/>
    </xf>
    <xf numFmtId="3" fontId="264" fillId="0" borderId="0" xfId="1" applyNumberFormat="1" applyFont="1" applyFill="1" applyBorder="1" applyAlignment="1">
      <alignment horizontal="left" vertical="center" wrapText="1"/>
    </xf>
    <xf numFmtId="0" fontId="264" fillId="0" borderId="1" xfId="0" applyFont="1" applyBorder="1" applyAlignment="1">
      <alignment horizontal="centerContinuous" vertical="center"/>
    </xf>
    <xf numFmtId="49" fontId="256" fillId="0" borderId="0" xfId="0" applyNumberFormat="1" applyFont="1" applyAlignment="1">
      <alignment horizontal="center" vertical="center" wrapText="1"/>
    </xf>
    <xf numFmtId="0" fontId="264" fillId="0" borderId="1" xfId="0" applyFont="1" applyBorder="1" applyAlignment="1">
      <alignment horizontal="center" vertical="center" wrapText="1"/>
    </xf>
    <xf numFmtId="0" fontId="256" fillId="0" borderId="0" xfId="0" applyFont="1" applyAlignment="1">
      <alignment horizontal="center" vertical="center" wrapText="1"/>
    </xf>
    <xf numFmtId="178" fontId="256" fillId="0" borderId="0" xfId="0" applyNumberFormat="1" applyFont="1" applyAlignment="1">
      <alignment horizontal="center" vertical="center"/>
    </xf>
    <xf numFmtId="178" fontId="264" fillId="0" borderId="1" xfId="0" applyNumberFormat="1" applyFont="1" applyBorder="1" applyAlignment="1">
      <alignment horizontal="centerContinuous" vertical="center"/>
    </xf>
    <xf numFmtId="0" fontId="256" fillId="0" borderId="0" xfId="0" applyFont="1"/>
    <xf numFmtId="195" fontId="256" fillId="0" borderId="0" xfId="5" applyNumberFormat="1" applyFont="1" applyFill="1" applyAlignment="1">
      <alignment vertical="center" wrapText="1"/>
    </xf>
    <xf numFmtId="49" fontId="256" fillId="0" borderId="0" xfId="0" applyNumberFormat="1" applyFont="1" applyAlignment="1">
      <alignment vertical="center" wrapText="1"/>
    </xf>
    <xf numFmtId="177" fontId="256" fillId="0" borderId="0" xfId="0" applyNumberFormat="1" applyFont="1" applyAlignment="1">
      <alignment horizontal="center" vertical="center" wrapText="1"/>
    </xf>
    <xf numFmtId="169" fontId="256" fillId="0" borderId="0" xfId="1" applyFont="1" applyFill="1" applyAlignment="1">
      <alignment horizontal="center" vertical="center" wrapText="1"/>
    </xf>
    <xf numFmtId="173" fontId="256" fillId="0" borderId="0" xfId="0" applyNumberFormat="1" applyFont="1" applyAlignment="1">
      <alignment horizontal="center" vertical="center"/>
    </xf>
    <xf numFmtId="49" fontId="264" fillId="0" borderId="0" xfId="0" applyNumberFormat="1" applyFont="1" applyAlignment="1">
      <alignment horizontal="center" vertical="center" wrapText="1"/>
    </xf>
    <xf numFmtId="49" fontId="256" fillId="0" borderId="0" xfId="0" applyNumberFormat="1" applyFont="1" applyAlignment="1">
      <alignment horizontal="center" vertical="center"/>
    </xf>
    <xf numFmtId="168" fontId="256" fillId="0" borderId="0" xfId="0" applyNumberFormat="1" applyFont="1" applyAlignment="1">
      <alignment horizontal="center" vertical="center"/>
    </xf>
    <xf numFmtId="0" fontId="288" fillId="0" borderId="0" xfId="4" applyFont="1" applyAlignment="1">
      <alignment vertical="center" wrapText="1"/>
    </xf>
    <xf numFmtId="4" fontId="256" fillId="0" borderId="0" xfId="0" applyNumberFormat="1" applyFont="1" applyAlignment="1">
      <alignment vertical="center" wrapText="1"/>
    </xf>
    <xf numFmtId="0" fontId="256" fillId="0" borderId="0" xfId="0" applyFont="1" applyProtection="1">
      <protection hidden="1"/>
    </xf>
    <xf numFmtId="0" fontId="256" fillId="0" borderId="35" xfId="0" applyFont="1" applyBorder="1"/>
    <xf numFmtId="173" fontId="256" fillId="0" borderId="0" xfId="26" applyNumberFormat="1" applyFont="1" applyAlignment="1">
      <alignment horizontal="center" vertical="center" wrapText="1"/>
    </xf>
    <xf numFmtId="199" fontId="256" fillId="0" borderId="0" xfId="1" applyNumberFormat="1" applyFont="1" applyFill="1" applyAlignment="1">
      <alignment vertical="center"/>
    </xf>
    <xf numFmtId="0" fontId="257" fillId="2" borderId="0" xfId="0" applyFont="1" applyFill="1" applyAlignment="1">
      <alignment vertical="center"/>
    </xf>
    <xf numFmtId="195" fontId="256" fillId="0" borderId="0" xfId="0" applyNumberFormat="1" applyFont="1" applyAlignment="1">
      <alignment horizontal="center" vertical="center"/>
    </xf>
    <xf numFmtId="198" fontId="256" fillId="0" borderId="0" xfId="0" applyNumberFormat="1" applyFont="1" applyAlignment="1">
      <alignment vertical="center"/>
    </xf>
    <xf numFmtId="169" fontId="256" fillId="0" borderId="0" xfId="1" applyFont="1" applyFill="1" applyAlignment="1">
      <alignment horizontal="centerContinuous" vertical="center"/>
    </xf>
    <xf numFmtId="192" fontId="256" fillId="0" borderId="0" xfId="1" applyNumberFormat="1" applyFont="1" applyFill="1" applyAlignment="1">
      <alignment vertical="center"/>
    </xf>
    <xf numFmtId="174" fontId="256" fillId="0" borderId="0" xfId="2" applyNumberFormat="1" applyFont="1" applyFill="1" applyAlignment="1">
      <alignment horizontal="left" vertical="center"/>
    </xf>
    <xf numFmtId="195" fontId="256" fillId="0" borderId="0" xfId="0" applyNumberFormat="1" applyFont="1" applyAlignment="1">
      <alignment horizontal="left" vertical="center"/>
    </xf>
    <xf numFmtId="9" fontId="256" fillId="0" borderId="0" xfId="2" applyFont="1" applyFill="1" applyAlignment="1">
      <alignment vertical="center"/>
    </xf>
    <xf numFmtId="3" fontId="256" fillId="0" borderId="0" xfId="4" applyNumberFormat="1" applyFont="1" applyAlignment="1">
      <alignment horizontal="left" vertical="center"/>
    </xf>
    <xf numFmtId="177" fontId="256" fillId="0" borderId="0" xfId="0" applyNumberFormat="1" applyFont="1" applyAlignment="1">
      <alignment vertical="center"/>
    </xf>
    <xf numFmtId="3" fontId="256" fillId="0" borderId="0" xfId="0" applyNumberFormat="1" applyFont="1" applyAlignment="1">
      <alignment horizontal="left" vertical="center"/>
    </xf>
    <xf numFmtId="2" fontId="256" fillId="0" borderId="0" xfId="0" applyNumberFormat="1" applyFont="1" applyAlignment="1">
      <alignment vertical="center"/>
    </xf>
    <xf numFmtId="180" fontId="256" fillId="0" borderId="1" xfId="0" applyNumberFormat="1" applyFont="1" applyBorder="1" applyAlignment="1">
      <alignment horizontal="center" vertical="center" wrapText="1"/>
    </xf>
    <xf numFmtId="169" fontId="256" fillId="0" borderId="0" xfId="1" applyFont="1" applyFill="1" applyAlignment="1">
      <alignment vertical="center" wrapText="1"/>
    </xf>
    <xf numFmtId="1" fontId="256" fillId="0" borderId="0" xfId="0" applyNumberFormat="1" applyFont="1" applyAlignment="1">
      <alignment vertical="center"/>
    </xf>
    <xf numFmtId="0" fontId="264" fillId="0" borderId="0" xfId="0" applyFont="1" applyAlignment="1">
      <alignment horizontal="right" vertical="center"/>
    </xf>
    <xf numFmtId="169" fontId="264" fillId="0" borderId="0" xfId="1" applyFont="1" applyFill="1" applyBorder="1" applyAlignment="1">
      <alignment vertical="center"/>
    </xf>
    <xf numFmtId="169" fontId="256" fillId="0" borderId="0" xfId="0" applyNumberFormat="1" applyFont="1" applyAlignment="1">
      <alignment horizontal="center" vertical="center"/>
    </xf>
    <xf numFmtId="169" fontId="256" fillId="0" borderId="0" xfId="0" applyNumberFormat="1" applyFont="1" applyAlignment="1">
      <alignment horizontal="left" vertical="center"/>
    </xf>
    <xf numFmtId="2" fontId="256" fillId="0" borderId="0" xfId="0" applyNumberFormat="1" applyFont="1" applyAlignment="1">
      <alignment horizontal="left" vertical="center" indent="3"/>
    </xf>
    <xf numFmtId="181" fontId="256" fillId="0" borderId="0" xfId="0" applyNumberFormat="1" applyFont="1" applyAlignment="1">
      <alignment vertical="center"/>
    </xf>
    <xf numFmtId="168" fontId="256" fillId="0" borderId="0" xfId="0" applyNumberFormat="1" applyFont="1" applyAlignment="1">
      <alignment horizontal="center" vertical="center" wrapText="1"/>
    </xf>
    <xf numFmtId="176" fontId="264" fillId="0" borderId="0" xfId="0" applyNumberFormat="1" applyFont="1" applyAlignment="1">
      <alignment horizontal="center" vertical="center" wrapText="1"/>
    </xf>
    <xf numFmtId="176" fontId="264" fillId="0" borderId="0" xfId="0" applyNumberFormat="1" applyFont="1" applyAlignment="1">
      <alignment horizontal="left" vertical="center"/>
    </xf>
    <xf numFmtId="179" fontId="264" fillId="0" borderId="0" xfId="0" applyNumberFormat="1" applyFont="1" applyAlignment="1">
      <alignment horizontal="left" vertical="center"/>
    </xf>
    <xf numFmtId="179" fontId="264" fillId="0" borderId="0" xfId="0" applyNumberFormat="1" applyFont="1" applyAlignment="1">
      <alignment vertical="center"/>
    </xf>
    <xf numFmtId="167" fontId="264" fillId="0" borderId="0" xfId="0" applyNumberFormat="1" applyFont="1" applyAlignment="1">
      <alignment vertical="center"/>
    </xf>
    <xf numFmtId="167" fontId="264" fillId="0" borderId="0" xfId="0" applyNumberFormat="1" applyFont="1" applyAlignment="1">
      <alignment horizontal="left" vertical="center"/>
    </xf>
    <xf numFmtId="174" fontId="256" fillId="0" borderId="0" xfId="0" applyNumberFormat="1" applyFont="1" applyAlignment="1">
      <alignment vertical="center" wrapText="1"/>
    </xf>
    <xf numFmtId="0" fontId="264" fillId="0" borderId="0" xfId="0" applyFont="1" applyAlignment="1">
      <alignment horizontal="left" vertical="center"/>
    </xf>
    <xf numFmtId="0" fontId="264" fillId="0" borderId="1" xfId="35071" applyFont="1" applyBorder="1" applyAlignment="1">
      <alignment vertical="center"/>
    </xf>
    <xf numFmtId="0" fontId="256" fillId="0" borderId="1" xfId="35071" applyFont="1" applyBorder="1" applyAlignment="1">
      <alignment vertical="center"/>
    </xf>
    <xf numFmtId="0" fontId="256" fillId="0" borderId="0" xfId="35066" applyFont="1" applyAlignment="1">
      <alignment horizontal="center"/>
    </xf>
    <xf numFmtId="0" fontId="256" fillId="0" borderId="0" xfId="35066" applyFont="1" applyAlignment="1">
      <alignment horizontal="right" wrapText="1"/>
    </xf>
    <xf numFmtId="0" fontId="256" fillId="0" borderId="0" xfId="35072" applyFont="1"/>
    <xf numFmtId="169" fontId="256" fillId="0" borderId="0" xfId="35073" applyFont="1" applyFill="1"/>
    <xf numFmtId="0" fontId="256" fillId="0" borderId="0" xfId="35072" applyFont="1" applyAlignment="1">
      <alignment horizontal="center"/>
    </xf>
    <xf numFmtId="0" fontId="256" fillId="0" borderId="0" xfId="35075" applyFont="1" applyFill="1" applyBorder="1" applyAlignment="1">
      <alignment horizontal="center" vertical="center" wrapText="1"/>
    </xf>
    <xf numFmtId="168" fontId="256" fillId="0" borderId="0" xfId="35075" applyNumberFormat="1" applyFont="1" applyFill="1" applyAlignment="1">
      <alignment vertical="center"/>
    </xf>
    <xf numFmtId="168" fontId="256" fillId="0" borderId="0" xfId="35075" applyNumberFormat="1" applyFont="1" applyFill="1" applyAlignment="1">
      <alignment horizontal="center" vertical="center" wrapText="1"/>
    </xf>
    <xf numFmtId="180" fontId="256" fillId="0" borderId="0" xfId="35075" applyNumberFormat="1" applyFont="1" applyFill="1" applyBorder="1" applyAlignment="1">
      <alignment horizontal="center" vertical="center" wrapText="1"/>
    </xf>
    <xf numFmtId="168" fontId="256" fillId="0" borderId="0" xfId="35075" applyNumberFormat="1" applyFont="1" applyFill="1" applyBorder="1" applyAlignment="1">
      <alignment horizontal="center" vertical="center" wrapText="1"/>
    </xf>
    <xf numFmtId="176" fontId="264" fillId="0" borderId="33" xfId="0" applyNumberFormat="1" applyFont="1" applyBorder="1" applyAlignment="1">
      <alignment horizontal="center" vertical="center" wrapText="1"/>
    </xf>
    <xf numFmtId="199" fontId="256" fillId="0" borderId="0" xfId="1" applyNumberFormat="1" applyFont="1" applyFill="1" applyAlignment="1">
      <alignment horizontal="center" vertical="center" wrapText="1"/>
    </xf>
    <xf numFmtId="0" fontId="146" fillId="0" borderId="0" xfId="35087" applyFill="1" applyAlignment="1">
      <alignment vertical="center"/>
    </xf>
    <xf numFmtId="168" fontId="257" fillId="0" borderId="0" xfId="35087" applyNumberFormat="1" applyFont="1" applyFill="1" applyAlignment="1">
      <alignment vertical="center"/>
    </xf>
    <xf numFmtId="0" fontId="257" fillId="0" borderId="0" xfId="35087" applyFont="1" applyFill="1" applyAlignment="1">
      <alignment vertical="center"/>
    </xf>
    <xf numFmtId="180" fontId="257" fillId="0" borderId="0" xfId="35087" applyNumberFormat="1" applyFont="1" applyFill="1" applyBorder="1" applyAlignment="1">
      <alignment vertical="center"/>
    </xf>
    <xf numFmtId="196" fontId="257" fillId="0" borderId="0" xfId="35087" applyNumberFormat="1" applyFont="1" applyFill="1" applyAlignment="1">
      <alignment vertical="center"/>
    </xf>
    <xf numFmtId="173" fontId="146" fillId="0" borderId="0" xfId="35087" applyNumberFormat="1" applyFill="1" applyAlignment="1">
      <alignment vertical="center"/>
    </xf>
    <xf numFmtId="0" fontId="146" fillId="0" borderId="0" xfId="35088"/>
    <xf numFmtId="176" fontId="146" fillId="0" borderId="0" xfId="35088" applyNumberFormat="1" applyAlignment="1">
      <alignment vertical="center"/>
    </xf>
    <xf numFmtId="0" fontId="294" fillId="0" borderId="0" xfId="35088" applyFont="1" applyAlignment="1">
      <alignment vertical="center"/>
    </xf>
    <xf numFmtId="0" fontId="258" fillId="0" borderId="0" xfId="35087" applyFont="1" applyFill="1" applyAlignment="1">
      <alignment vertical="center"/>
    </xf>
    <xf numFmtId="0" fontId="252" fillId="27" borderId="18" xfId="35094" applyFont="1" applyFill="1" applyBorder="1" applyAlignment="1">
      <alignment horizontal="center"/>
    </xf>
    <xf numFmtId="0" fontId="252" fillId="0" borderId="34" xfId="35094" applyFont="1" applyBorder="1" applyAlignment="1">
      <alignment wrapText="1"/>
    </xf>
    <xf numFmtId="0" fontId="252" fillId="0" borderId="34" xfId="35094" applyFont="1" applyBorder="1" applyAlignment="1">
      <alignment horizontal="right" wrapText="1"/>
    </xf>
    <xf numFmtId="1" fontId="256" fillId="0" borderId="0" xfId="0" applyNumberFormat="1" applyFont="1" applyAlignment="1">
      <alignment horizontal="center" vertical="center"/>
    </xf>
    <xf numFmtId="1" fontId="259" fillId="26" borderId="1" xfId="0" applyNumberFormat="1" applyFont="1" applyFill="1" applyBorder="1" applyAlignment="1">
      <alignment horizontal="center" vertical="center" wrapText="1"/>
    </xf>
    <xf numFmtId="200" fontId="259" fillId="26" borderId="1" xfId="0" applyNumberFormat="1" applyFont="1" applyFill="1" applyBorder="1" applyAlignment="1">
      <alignment horizontal="center" vertical="center" wrapText="1"/>
    </xf>
    <xf numFmtId="199" fontId="259" fillId="26" borderId="1" xfId="0" applyNumberFormat="1" applyFont="1" applyFill="1" applyBorder="1" applyAlignment="1">
      <alignment horizontal="center" vertical="center" wrapText="1"/>
    </xf>
    <xf numFmtId="200" fontId="256" fillId="0" borderId="0" xfId="0" applyNumberFormat="1" applyFont="1" applyAlignment="1">
      <alignment vertical="center"/>
    </xf>
    <xf numFmtId="180" fontId="264" fillId="0" borderId="0" xfId="0" applyNumberFormat="1" applyFont="1" applyAlignment="1">
      <alignment vertical="center"/>
    </xf>
    <xf numFmtId="195" fontId="256" fillId="0" borderId="0" xfId="0" applyNumberFormat="1" applyFont="1" applyAlignment="1">
      <alignment vertical="center"/>
    </xf>
    <xf numFmtId="1" fontId="256" fillId="0" borderId="0" xfId="0" applyNumberFormat="1" applyFont="1" applyAlignment="1">
      <alignment vertical="center" wrapText="1"/>
    </xf>
    <xf numFmtId="9" fontId="256" fillId="0" borderId="0" xfId="2" applyFont="1" applyFill="1" applyAlignment="1">
      <alignment horizontal="center" vertical="center" wrapText="1"/>
    </xf>
    <xf numFmtId="0" fontId="264" fillId="0" borderId="15" xfId="0" applyFont="1" applyBorder="1" applyAlignment="1">
      <alignment horizontal="justify" vertical="center"/>
    </xf>
    <xf numFmtId="9" fontId="256" fillId="0" borderId="0" xfId="2" applyFont="1" applyFill="1" applyAlignment="1">
      <alignment horizontal="center" vertical="center"/>
    </xf>
    <xf numFmtId="0" fontId="264" fillId="2" borderId="0" xfId="0" applyFont="1" applyFill="1" applyAlignment="1">
      <alignment vertical="center"/>
    </xf>
    <xf numFmtId="0" fontId="296" fillId="28" borderId="13" xfId="0" applyFont="1" applyFill="1" applyBorder="1"/>
    <xf numFmtId="180" fontId="264" fillId="0" borderId="15" xfId="0" applyNumberFormat="1" applyFont="1" applyBorder="1" applyAlignment="1">
      <alignment horizontal="center" vertical="center" wrapText="1"/>
    </xf>
    <xf numFmtId="0" fontId="259" fillId="2" borderId="0" xfId="26" applyFont="1" applyFill="1" applyAlignment="1">
      <alignment horizontal="center" vertical="center"/>
    </xf>
    <xf numFmtId="169" fontId="259" fillId="2" borderId="0" xfId="17578" applyFont="1" applyFill="1" applyBorder="1" applyAlignment="1">
      <alignment horizontal="center" vertical="center"/>
    </xf>
    <xf numFmtId="0" fontId="264" fillId="0" borderId="0" xfId="26" applyFont="1" applyAlignment="1">
      <alignment horizontal="center" vertical="center" wrapText="1"/>
    </xf>
    <xf numFmtId="169" fontId="264" fillId="0" borderId="0" xfId="17578" applyFont="1" applyFill="1" applyBorder="1" applyAlignment="1">
      <alignment horizontal="center" vertical="center" wrapText="1"/>
    </xf>
    <xf numFmtId="1" fontId="255" fillId="0" borderId="0" xfId="26" applyNumberFormat="1" applyFont="1" applyAlignment="1">
      <alignment horizontal="center" vertical="center" wrapText="1"/>
    </xf>
    <xf numFmtId="165" fontId="255" fillId="0" borderId="0" xfId="26" applyNumberFormat="1" applyFont="1" applyAlignment="1">
      <alignment horizontal="center" vertical="center" wrapText="1"/>
    </xf>
    <xf numFmtId="173" fontId="255" fillId="0" borderId="0" xfId="26" applyNumberFormat="1" applyFont="1" applyAlignment="1">
      <alignment horizontal="center" vertical="center" wrapText="1"/>
    </xf>
    <xf numFmtId="1" fontId="256" fillId="0" borderId="0" xfId="0" applyNumberFormat="1" applyFont="1" applyAlignment="1">
      <alignment horizontal="center" vertical="center" wrapText="1"/>
    </xf>
    <xf numFmtId="165" fontId="255" fillId="0" borderId="39" xfId="26" applyNumberFormat="1" applyFont="1" applyBorder="1" applyAlignment="1">
      <alignment horizontal="center" vertical="center" wrapText="1"/>
    </xf>
    <xf numFmtId="1" fontId="255" fillId="0" borderId="1" xfId="26" applyNumberFormat="1" applyFont="1" applyBorder="1" applyAlignment="1">
      <alignment horizontal="center" vertical="center" wrapText="1"/>
    </xf>
    <xf numFmtId="165" fontId="255" fillId="0" borderId="1" xfId="26" applyNumberFormat="1" applyFont="1" applyBorder="1" applyAlignment="1">
      <alignment horizontal="center" vertical="center" wrapText="1"/>
    </xf>
    <xf numFmtId="173" fontId="255" fillId="0" borderId="1" xfId="26" applyNumberFormat="1" applyFont="1" applyBorder="1" applyAlignment="1">
      <alignment horizontal="center" vertical="center" wrapText="1"/>
    </xf>
    <xf numFmtId="40" fontId="256" fillId="0" borderId="0" xfId="4447" applyNumberFormat="1" applyFont="1" applyAlignment="1">
      <alignment horizontal="center"/>
    </xf>
    <xf numFmtId="180" fontId="264" fillId="0" borderId="0" xfId="0" applyNumberFormat="1" applyFont="1" applyAlignment="1">
      <alignment horizontal="center" vertical="center" wrapText="1"/>
    </xf>
    <xf numFmtId="203" fontId="256" fillId="0" borderId="0" xfId="0" applyNumberFormat="1" applyFont="1" applyAlignment="1">
      <alignment vertical="center"/>
    </xf>
    <xf numFmtId="0" fontId="264" fillId="0" borderId="0" xfId="77" applyFont="1" applyAlignment="1">
      <alignment horizontal="center" vertical="center" wrapText="1"/>
    </xf>
    <xf numFmtId="169" fontId="264" fillId="0" borderId="0" xfId="0" applyNumberFormat="1" applyFont="1" applyAlignment="1">
      <alignment horizontal="center" vertical="center"/>
    </xf>
    <xf numFmtId="2" fontId="264" fillId="0" borderId="0" xfId="0" applyNumberFormat="1" applyFont="1" applyAlignment="1">
      <alignment horizontal="center" vertical="center"/>
    </xf>
    <xf numFmtId="3" fontId="259" fillId="26" borderId="1" xfId="0" applyNumberFormat="1" applyFont="1" applyFill="1" applyBorder="1" applyAlignment="1">
      <alignment horizontal="center" vertical="center" wrapText="1"/>
    </xf>
    <xf numFmtId="204" fontId="256" fillId="0" borderId="1" xfId="0" applyNumberFormat="1" applyFont="1" applyBorder="1" applyAlignment="1">
      <alignment horizontal="center" vertical="center" wrapText="1"/>
    </xf>
    <xf numFmtId="0" fontId="264" fillId="0" borderId="4" xfId="0" applyFont="1" applyBorder="1" applyAlignment="1">
      <alignment horizontal="center" vertical="center" wrapText="1"/>
    </xf>
    <xf numFmtId="178" fontId="264" fillId="0" borderId="17" xfId="0" applyNumberFormat="1" applyFont="1" applyBorder="1" applyAlignment="1">
      <alignment horizontal="center" vertical="center"/>
    </xf>
    <xf numFmtId="165" fontId="255" fillId="0" borderId="47" xfId="26" applyNumberFormat="1" applyFont="1" applyBorder="1" applyAlignment="1">
      <alignment horizontal="center" vertical="center" wrapText="1"/>
    </xf>
    <xf numFmtId="0" fontId="250" fillId="0" borderId="0" xfId="0" applyFont="1" applyAlignment="1">
      <alignment horizontal="center" vertical="center" wrapText="1"/>
    </xf>
    <xf numFmtId="169" fontId="250" fillId="0" borderId="0" xfId="1" applyFont="1" applyFill="1" applyAlignment="1">
      <alignment horizontal="center" vertical="center" wrapText="1"/>
    </xf>
    <xf numFmtId="0" fontId="264" fillId="0" borderId="1" xfId="0" applyFont="1" applyBorder="1" applyAlignment="1">
      <alignment horizontal="center" vertical="center"/>
    </xf>
    <xf numFmtId="0" fontId="250" fillId="0" borderId="0" xfId="0" applyFont="1" applyAlignment="1">
      <alignment vertical="center"/>
    </xf>
    <xf numFmtId="4" fontId="250" fillId="0" borderId="0" xfId="0" applyNumberFormat="1" applyFont="1" applyAlignment="1">
      <alignment vertical="center"/>
    </xf>
    <xf numFmtId="0" fontId="250" fillId="0" borderId="0" xfId="0" applyFont="1" applyAlignment="1">
      <alignment horizontal="center" vertical="center"/>
    </xf>
    <xf numFmtId="0" fontId="250" fillId="2" borderId="0" xfId="0" applyFont="1" applyFill="1" applyAlignment="1">
      <alignment vertical="center"/>
    </xf>
    <xf numFmtId="169" fontId="250" fillId="2" borderId="0" xfId="1" applyFont="1" applyFill="1" applyAlignment="1">
      <alignment vertical="center"/>
    </xf>
    <xf numFmtId="49" fontId="290" fillId="0" borderId="14" xfId="0" applyNumberFormat="1" applyFont="1" applyBorder="1" applyAlignment="1">
      <alignment horizontal="center" vertical="center" wrapText="1"/>
    </xf>
    <xf numFmtId="0" fontId="250" fillId="0" borderId="0" xfId="0" applyFont="1"/>
    <xf numFmtId="49" fontId="290" fillId="0" borderId="35" xfId="0" applyNumberFormat="1" applyFont="1" applyBorder="1" applyAlignment="1">
      <alignment horizontal="center" vertical="center" wrapText="1"/>
    </xf>
    <xf numFmtId="0" fontId="250" fillId="0" borderId="35" xfId="0" applyFont="1" applyBorder="1"/>
    <xf numFmtId="49" fontId="290" fillId="0" borderId="13" xfId="0" applyNumberFormat="1" applyFont="1" applyBorder="1" applyAlignment="1">
      <alignment horizontal="center" vertical="center" wrapText="1"/>
    </xf>
    <xf numFmtId="9" fontId="256" fillId="0" borderId="0" xfId="2" applyFont="1" applyFill="1" applyAlignment="1">
      <alignment horizontal="left" vertical="center"/>
    </xf>
    <xf numFmtId="0" fontId="288" fillId="0" borderId="0" xfId="4" applyFont="1" applyAlignment="1">
      <alignment horizontal="left" vertical="center" wrapText="1"/>
    </xf>
    <xf numFmtId="169" fontId="250" fillId="0" borderId="0" xfId="1" applyFont="1" applyFill="1" applyAlignment="1">
      <alignment vertical="center"/>
    </xf>
    <xf numFmtId="171" fontId="250" fillId="0" borderId="0" xfId="0" applyNumberFormat="1" applyFont="1" applyAlignment="1">
      <alignment vertical="center"/>
    </xf>
    <xf numFmtId="169" fontId="250" fillId="0" borderId="34" xfId="1" applyFont="1" applyFill="1" applyBorder="1" applyAlignment="1">
      <alignment horizontal="right" vertical="center" wrapText="1"/>
    </xf>
    <xf numFmtId="10" fontId="250" fillId="0" borderId="0" xfId="2" applyNumberFormat="1" applyFont="1" applyFill="1" applyAlignment="1">
      <alignment vertical="center"/>
    </xf>
    <xf numFmtId="10" fontId="250" fillId="0" borderId="0" xfId="1" applyNumberFormat="1" applyFont="1" applyFill="1" applyAlignment="1">
      <alignment vertical="center"/>
    </xf>
    <xf numFmtId="0" fontId="250" fillId="0" borderId="30" xfId="0" applyFont="1" applyBorder="1" applyAlignment="1">
      <alignment vertical="center"/>
    </xf>
    <xf numFmtId="171" fontId="290" fillId="0" borderId="30" xfId="1" applyNumberFormat="1" applyFont="1" applyFill="1" applyBorder="1" applyAlignment="1">
      <alignment vertical="center"/>
    </xf>
    <xf numFmtId="169" fontId="290" fillId="0" borderId="30" xfId="1" applyFont="1" applyFill="1" applyBorder="1" applyAlignment="1">
      <alignment vertical="center"/>
    </xf>
    <xf numFmtId="3" fontId="250" fillId="0" borderId="0" xfId="0" applyNumberFormat="1" applyFont="1" applyAlignment="1">
      <alignment vertical="center"/>
    </xf>
    <xf numFmtId="194" fontId="250" fillId="0" borderId="0" xfId="77" applyNumberFormat="1" applyFont="1" applyAlignment="1">
      <alignment horizontal="right" vertical="center"/>
    </xf>
    <xf numFmtId="174" fontId="250" fillId="0" borderId="0" xfId="2" applyNumberFormat="1" applyFont="1" applyFill="1" applyAlignment="1">
      <alignment vertical="center"/>
    </xf>
    <xf numFmtId="174" fontId="250" fillId="0" borderId="0" xfId="1" applyNumberFormat="1" applyFont="1" applyFill="1" applyAlignment="1">
      <alignment vertical="center"/>
    </xf>
    <xf numFmtId="0" fontId="250" fillId="0" borderId="0" xfId="43911" applyFont="1"/>
    <xf numFmtId="37" fontId="250" fillId="0" borderId="0" xfId="43914" applyNumberFormat="1" applyFont="1"/>
    <xf numFmtId="169" fontId="250" fillId="0" borderId="0" xfId="43914" applyFont="1"/>
    <xf numFmtId="9" fontId="250" fillId="0" borderId="0" xfId="2" applyFont="1" applyFill="1" applyAlignment="1">
      <alignment vertical="center"/>
    </xf>
    <xf numFmtId="0" fontId="250" fillId="0" borderId="0" xfId="77" applyFont="1" applyAlignment="1">
      <alignment horizontal="left" vertical="center"/>
    </xf>
    <xf numFmtId="193" fontId="250" fillId="0" borderId="0" xfId="77" applyNumberFormat="1" applyFont="1" applyAlignment="1">
      <alignment horizontal="right" vertical="center"/>
    </xf>
    <xf numFmtId="0" fontId="250" fillId="0" borderId="0" xfId="35070" applyFont="1" applyAlignment="1">
      <alignment horizontal="center" vertical="center"/>
    </xf>
    <xf numFmtId="169" fontId="250" fillId="0" borderId="0" xfId="1" applyFont="1" applyFill="1" applyBorder="1" applyAlignment="1">
      <alignment vertical="center"/>
    </xf>
    <xf numFmtId="173" fontId="250" fillId="0" borderId="0" xfId="0" applyNumberFormat="1" applyFont="1" applyAlignment="1">
      <alignment vertical="center"/>
    </xf>
    <xf numFmtId="180" fontId="250" fillId="0" borderId="0" xfId="0" applyNumberFormat="1" applyFont="1" applyAlignment="1">
      <alignment vertical="center"/>
    </xf>
    <xf numFmtId="173" fontId="250" fillId="0" borderId="1" xfId="0" applyNumberFormat="1" applyFont="1" applyBorder="1" applyAlignment="1">
      <alignment vertical="center"/>
    </xf>
    <xf numFmtId="169" fontId="250" fillId="0" borderId="1" xfId="1" applyFont="1" applyFill="1" applyBorder="1" applyAlignment="1">
      <alignment vertical="center"/>
    </xf>
    <xf numFmtId="173" fontId="250" fillId="0" borderId="1" xfId="0" applyNumberFormat="1" applyFont="1" applyBorder="1" applyAlignment="1">
      <alignment horizontal="center" vertical="center" wrapText="1"/>
    </xf>
    <xf numFmtId="174" fontId="250" fillId="0" borderId="0" xfId="2" applyNumberFormat="1" applyFont="1" applyFill="1" applyAlignment="1">
      <alignment horizontal="center" vertical="center" wrapText="1"/>
    </xf>
    <xf numFmtId="169" fontId="250" fillId="0" borderId="1" xfId="1" applyFont="1" applyFill="1" applyBorder="1" applyAlignment="1">
      <alignment horizontal="center" vertical="center" wrapText="1"/>
    </xf>
    <xf numFmtId="169" fontId="250" fillId="0" borderId="0" xfId="1" applyFont="1" applyFill="1"/>
    <xf numFmtId="0" fontId="250" fillId="0" borderId="0" xfId="4452" applyFont="1" applyAlignment="1">
      <alignment horizontal="center"/>
    </xf>
    <xf numFmtId="0" fontId="309" fillId="2" borderId="0" xfId="26" applyFont="1" applyFill="1" applyAlignment="1">
      <alignment horizontal="center" vertical="center" wrapText="1"/>
    </xf>
    <xf numFmtId="0" fontId="296" fillId="2" borderId="0" xfId="26" applyFont="1" applyFill="1" applyAlignment="1">
      <alignment horizontal="center" vertical="center"/>
    </xf>
    <xf numFmtId="169" fontId="296" fillId="2" borderId="0" xfId="17578" applyFont="1" applyFill="1" applyBorder="1" applyAlignment="1">
      <alignment horizontal="center" vertical="center"/>
    </xf>
    <xf numFmtId="0" fontId="296" fillId="2" borderId="0" xfId="26" applyFont="1" applyFill="1" applyAlignment="1">
      <alignment horizontal="center" vertical="center" wrapText="1"/>
    </xf>
    <xf numFmtId="1" fontId="249" fillId="0" borderId="0" xfId="26" applyNumberFormat="1" applyAlignment="1">
      <alignment horizontal="center" vertical="center" wrapText="1"/>
    </xf>
    <xf numFmtId="165" fontId="249" fillId="0" borderId="0" xfId="26" applyNumberFormat="1" applyAlignment="1">
      <alignment horizontal="center" vertical="center" wrapText="1"/>
    </xf>
    <xf numFmtId="0" fontId="250" fillId="0" borderId="0" xfId="0" applyFont="1" applyAlignment="1">
      <alignment horizontal="left" vertical="center" wrapText="1"/>
    </xf>
    <xf numFmtId="0" fontId="250" fillId="0" borderId="0" xfId="35071" applyFont="1" applyAlignment="1">
      <alignment vertical="center"/>
    </xf>
    <xf numFmtId="0" fontId="290" fillId="0" borderId="1" xfId="35071" applyFont="1" applyBorder="1" applyAlignment="1">
      <alignment vertical="center"/>
    </xf>
    <xf numFmtId="0" fontId="290" fillId="0" borderId="1" xfId="0" applyFont="1" applyBorder="1" applyAlignment="1">
      <alignment horizontal="center" vertical="center"/>
    </xf>
    <xf numFmtId="0" fontId="250" fillId="0" borderId="1" xfId="35071" applyFont="1" applyBorder="1" applyAlignment="1">
      <alignment vertical="center"/>
    </xf>
    <xf numFmtId="171" fontId="250" fillId="0" borderId="1" xfId="1" applyNumberFormat="1" applyFont="1" applyFill="1" applyBorder="1" applyAlignment="1">
      <alignment horizontal="center" vertical="center"/>
    </xf>
    <xf numFmtId="178" fontId="290" fillId="0" borderId="1" xfId="0" applyNumberFormat="1" applyFont="1" applyBorder="1" applyAlignment="1">
      <alignment horizontal="centerContinuous" vertical="center"/>
    </xf>
    <xf numFmtId="171" fontId="290" fillId="0" borderId="1" xfId="1" applyNumberFormat="1" applyFont="1" applyFill="1" applyBorder="1" applyAlignment="1">
      <alignment horizontal="center" vertical="center"/>
    </xf>
    <xf numFmtId="176" fontId="250" fillId="0" borderId="0" xfId="0" applyNumberFormat="1" applyFont="1" applyAlignment="1">
      <alignment vertical="center"/>
    </xf>
    <xf numFmtId="168" fontId="250" fillId="0" borderId="0" xfId="0" applyNumberFormat="1" applyFont="1" applyAlignment="1">
      <alignment vertical="center"/>
    </xf>
    <xf numFmtId="0" fontId="250" fillId="0" borderId="0" xfId="0" applyFont="1" applyAlignment="1">
      <alignment horizontal="right" vertical="center"/>
    </xf>
    <xf numFmtId="178" fontId="250" fillId="0" borderId="0" xfId="0" applyNumberFormat="1" applyFont="1" applyAlignment="1">
      <alignment horizontal="center" vertical="center"/>
    </xf>
    <xf numFmtId="180" fontId="250" fillId="0" borderId="0" xfId="0" applyNumberFormat="1" applyFont="1" applyAlignment="1">
      <alignment horizontal="center" vertical="center" wrapText="1"/>
    </xf>
    <xf numFmtId="173" fontId="250" fillId="0" borderId="0" xfId="0" applyNumberFormat="1" applyFont="1" applyAlignment="1">
      <alignment horizontal="center" vertical="center" wrapText="1"/>
    </xf>
    <xf numFmtId="0" fontId="290" fillId="0" borderId="0" xfId="0" applyFont="1" applyAlignment="1">
      <alignment horizontal="center" vertical="center"/>
    </xf>
    <xf numFmtId="0" fontId="290" fillId="0" borderId="0" xfId="0" applyFont="1" applyAlignment="1">
      <alignment horizontal="right" vertical="center"/>
    </xf>
    <xf numFmtId="171" fontId="290" fillId="0" borderId="0" xfId="1" applyNumberFormat="1" applyFont="1" applyFill="1" applyBorder="1" applyAlignment="1">
      <alignment vertical="center"/>
    </xf>
    <xf numFmtId="169" fontId="290" fillId="0" borderId="0" xfId="1" applyFont="1" applyFill="1" applyBorder="1" applyAlignment="1">
      <alignment vertical="center"/>
    </xf>
    <xf numFmtId="169" fontId="250" fillId="0" borderId="0" xfId="35073" applyFont="1" applyFill="1"/>
    <xf numFmtId="0" fontId="290" fillId="0" borderId="2" xfId="0" applyFont="1" applyBorder="1" applyAlignment="1">
      <alignment horizontal="center" vertical="center" wrapText="1"/>
    </xf>
    <xf numFmtId="0" fontId="290" fillId="0" borderId="30" xfId="77" applyFont="1" applyBorder="1" applyAlignment="1">
      <alignment horizontal="center" vertical="center" wrapText="1"/>
    </xf>
    <xf numFmtId="49" fontId="250" fillId="0" borderId="1" xfId="0" applyNumberFormat="1" applyFont="1" applyBorder="1" applyAlignment="1">
      <alignment vertical="center" wrapText="1"/>
    </xf>
    <xf numFmtId="178" fontId="290" fillId="0" borderId="30" xfId="0" applyNumberFormat="1" applyFont="1" applyBorder="1" applyAlignment="1">
      <alignment vertical="center" wrapText="1"/>
    </xf>
    <xf numFmtId="180" fontId="290" fillId="0" borderId="43" xfId="0" applyNumberFormat="1" applyFont="1" applyBorder="1" applyAlignment="1">
      <alignment horizontal="center" vertical="center" wrapText="1"/>
    </xf>
    <xf numFmtId="0" fontId="290" fillId="0" borderId="44" xfId="0" applyFont="1" applyBorder="1" applyAlignment="1">
      <alignment horizontal="center" vertical="center" wrapText="1"/>
    </xf>
    <xf numFmtId="171" fontId="290" fillId="0" borderId="0" xfId="1" applyNumberFormat="1" applyFont="1" applyFill="1" applyBorder="1" applyAlignment="1">
      <alignment horizontal="center" vertical="center"/>
    </xf>
    <xf numFmtId="178" fontId="290" fillId="0" borderId="0" xfId="0" applyNumberFormat="1" applyFont="1" applyAlignment="1">
      <alignment vertical="center" wrapText="1"/>
    </xf>
    <xf numFmtId="0" fontId="250" fillId="0" borderId="0" xfId="35072" applyFont="1"/>
    <xf numFmtId="169" fontId="250" fillId="0" borderId="0" xfId="5" applyFont="1" applyFill="1" applyAlignment="1">
      <alignment vertical="center"/>
    </xf>
    <xf numFmtId="0" fontId="290" fillId="0" borderId="30" xfId="0" applyFont="1" applyBorder="1" applyAlignment="1">
      <alignment horizontal="center" vertical="center" wrapText="1"/>
    </xf>
    <xf numFmtId="204" fontId="250" fillId="0" borderId="0" xfId="0" applyNumberFormat="1" applyFont="1" applyAlignment="1">
      <alignment horizontal="center" vertical="center"/>
    </xf>
    <xf numFmtId="169" fontId="250" fillId="0" borderId="0" xfId="35073" applyFont="1" applyFill="1" applyAlignment="1">
      <alignment horizontal="center"/>
    </xf>
    <xf numFmtId="0" fontId="290" fillId="0" borderId="30" xfId="0" applyFont="1" applyBorder="1" applyAlignment="1">
      <alignment horizontal="center" vertical="center"/>
    </xf>
    <xf numFmtId="199" fontId="290" fillId="0" borderId="30" xfId="5" applyNumberFormat="1" applyFont="1" applyFill="1" applyBorder="1" applyAlignment="1">
      <alignment horizontal="center" vertical="center" wrapText="1"/>
    </xf>
    <xf numFmtId="169" fontId="250" fillId="0" borderId="0" xfId="1" applyFont="1" applyFill="1" applyBorder="1" applyAlignment="1">
      <alignment vertical="center" wrapText="1"/>
    </xf>
    <xf numFmtId="169" fontId="250" fillId="0" borderId="0" xfId="1" applyFont="1" applyFill="1" applyBorder="1" applyAlignment="1">
      <alignment horizontal="right" vertical="center" wrapText="1"/>
    </xf>
    <xf numFmtId="0" fontId="250" fillId="0" borderId="0" xfId="35075" applyFont="1" applyFill="1" applyBorder="1" applyAlignment="1">
      <alignment vertical="center"/>
    </xf>
    <xf numFmtId="0" fontId="250" fillId="0" borderId="0" xfId="35075" applyFont="1" applyFill="1" applyBorder="1" applyAlignment="1">
      <alignment horizontal="center" vertical="center"/>
    </xf>
    <xf numFmtId="0" fontId="250" fillId="0" borderId="0" xfId="35075" applyFont="1" applyFill="1" applyBorder="1" applyAlignment="1">
      <alignment vertical="center" wrapText="1"/>
    </xf>
    <xf numFmtId="0" fontId="250" fillId="0" borderId="0" xfId="35075" applyFont="1" applyFill="1" applyBorder="1" applyAlignment="1">
      <alignment horizontal="right" vertical="center" wrapText="1"/>
    </xf>
    <xf numFmtId="180" fontId="250" fillId="0" borderId="0" xfId="35075" applyNumberFormat="1" applyFont="1" applyFill="1" applyBorder="1" applyAlignment="1">
      <alignment vertical="center"/>
    </xf>
    <xf numFmtId="196" fontId="250" fillId="0" borderId="0" xfId="35075" applyNumberFormat="1" applyFont="1" applyFill="1" applyAlignment="1">
      <alignment vertical="center"/>
    </xf>
    <xf numFmtId="173" fontId="250" fillId="0" borderId="0" xfId="35075" applyNumberFormat="1" applyFont="1" applyFill="1" applyAlignment="1">
      <alignment vertical="center"/>
    </xf>
    <xf numFmtId="180" fontId="250" fillId="0" borderId="0" xfId="35075" applyNumberFormat="1" applyFont="1" applyFill="1" applyBorder="1" applyAlignment="1">
      <alignment horizontal="center" vertical="center" wrapText="1"/>
    </xf>
    <xf numFmtId="196" fontId="250" fillId="0" borderId="0" xfId="35075" applyNumberFormat="1" applyFont="1" applyFill="1" applyAlignment="1">
      <alignment horizontal="center" vertical="center" wrapText="1"/>
    </xf>
    <xf numFmtId="173" fontId="250" fillId="0" borderId="0" xfId="35075" applyNumberFormat="1" applyFont="1" applyFill="1" applyAlignment="1">
      <alignment horizontal="center" vertical="center" wrapText="1"/>
    </xf>
    <xf numFmtId="169" fontId="251" fillId="0" borderId="46" xfId="1" applyFont="1" applyFill="1" applyBorder="1" applyAlignment="1">
      <alignment horizontal="right" wrapText="1"/>
    </xf>
    <xf numFmtId="0" fontId="251" fillId="0" borderId="46" xfId="43918" applyFont="1" applyBorder="1" applyAlignment="1">
      <alignment wrapText="1"/>
    </xf>
    <xf numFmtId="0" fontId="251" fillId="0" borderId="46" xfId="43925" applyBorder="1" applyAlignment="1">
      <alignment horizontal="right" wrapText="1"/>
    </xf>
    <xf numFmtId="0" fontId="251" fillId="0" borderId="34" xfId="35099" applyFont="1" applyBorder="1" applyAlignment="1">
      <alignment wrapText="1"/>
    </xf>
    <xf numFmtId="0" fontId="251" fillId="0" borderId="34" xfId="35099" applyFont="1" applyBorder="1" applyAlignment="1">
      <alignment horizontal="right" wrapText="1"/>
    </xf>
    <xf numFmtId="169" fontId="251" fillId="0" borderId="34" xfId="1" applyFont="1" applyFill="1" applyBorder="1" applyAlignment="1">
      <alignment horizontal="right" wrapText="1"/>
    </xf>
    <xf numFmtId="180" fontId="250" fillId="0" borderId="1" xfId="35087" applyNumberFormat="1" applyFont="1" applyFill="1" applyBorder="1" applyAlignment="1">
      <alignment vertical="center"/>
    </xf>
    <xf numFmtId="173" fontId="250" fillId="0" borderId="1" xfId="35087" applyNumberFormat="1" applyFont="1" applyFill="1" applyBorder="1" applyAlignment="1">
      <alignment vertical="center"/>
    </xf>
    <xf numFmtId="0" fontId="250" fillId="0" borderId="48" xfId="35066" applyFont="1" applyBorder="1" applyAlignment="1">
      <alignment horizontal="center"/>
    </xf>
    <xf numFmtId="0" fontId="250" fillId="0" borderId="1" xfId="35067" applyFont="1" applyBorder="1" applyAlignment="1">
      <alignment vertical="center" wrapText="1"/>
    </xf>
    <xf numFmtId="0" fontId="250" fillId="0" borderId="1" xfId="35068" applyFont="1" applyBorder="1" applyAlignment="1">
      <alignment vertical="center"/>
    </xf>
    <xf numFmtId="169" fontId="250" fillId="0" borderId="49" xfId="1" applyFont="1" applyFill="1" applyBorder="1" applyAlignment="1">
      <alignment horizontal="right" vertical="center" wrapText="1"/>
    </xf>
    <xf numFmtId="0" fontId="250" fillId="0" borderId="1" xfId="12" applyFont="1" applyBorder="1" applyAlignment="1">
      <alignment horizontal="center" vertical="center"/>
    </xf>
    <xf numFmtId="0" fontId="250" fillId="0" borderId="1" xfId="12" applyFont="1" applyBorder="1" applyAlignment="1">
      <alignment horizontal="center" vertical="center" wrapText="1"/>
    </xf>
    <xf numFmtId="0" fontId="250" fillId="0" borderId="1" xfId="35069" applyFont="1" applyBorder="1"/>
    <xf numFmtId="169" fontId="250" fillId="0" borderId="1" xfId="35069" applyNumberFormat="1" applyFont="1" applyBorder="1"/>
    <xf numFmtId="0" fontId="250" fillId="0" borderId="1" xfId="35069" applyFont="1" applyBorder="1" applyAlignment="1">
      <alignment horizontal="center"/>
    </xf>
    <xf numFmtId="0" fontId="250" fillId="0" borderId="1" xfId="4346" applyFont="1" applyBorder="1" applyAlignment="1">
      <alignment horizontal="center"/>
    </xf>
    <xf numFmtId="0" fontId="250" fillId="0" borderId="1" xfId="0" applyFont="1" applyBorder="1"/>
    <xf numFmtId="169" fontId="250" fillId="0" borderId="1" xfId="1" applyFont="1" applyFill="1" applyBorder="1"/>
    <xf numFmtId="0" fontId="250" fillId="0" borderId="1" xfId="4346" applyFont="1" applyBorder="1" applyAlignment="1">
      <alignment horizontal="center" wrapText="1"/>
    </xf>
    <xf numFmtId="49" fontId="256" fillId="0" borderId="0" xfId="0" applyNumberFormat="1" applyFont="1" applyAlignment="1">
      <alignment horizontal="left" vertical="center"/>
    </xf>
    <xf numFmtId="169" fontId="256" fillId="0" borderId="0" xfId="1" applyFont="1" applyFill="1" applyAlignment="1">
      <alignment horizontal="left" vertical="center"/>
    </xf>
    <xf numFmtId="169" fontId="250" fillId="0" borderId="0" xfId="1" applyFont="1" applyFill="1" applyBorder="1" applyAlignment="1">
      <alignment horizontal="left" vertical="center"/>
    </xf>
    <xf numFmtId="0" fontId="250" fillId="0" borderId="0" xfId="0" applyFont="1" applyAlignment="1">
      <alignment horizontal="left"/>
    </xf>
    <xf numFmtId="0" fontId="250" fillId="0" borderId="0" xfId="0" applyFont="1" applyAlignment="1">
      <alignment horizontal="left" vertical="center"/>
    </xf>
    <xf numFmtId="49" fontId="256" fillId="0" borderId="0" xfId="0" applyNumberFormat="1" applyFont="1" applyAlignment="1">
      <alignment horizontal="left"/>
    </xf>
    <xf numFmtId="0" fontId="288" fillId="0" borderId="0" xfId="4" applyFont="1" applyAlignment="1">
      <alignment horizontal="left" wrapText="1"/>
    </xf>
    <xf numFmtId="0" fontId="256" fillId="0" borderId="0" xfId="0" applyFont="1" applyAlignment="1">
      <alignment horizontal="left"/>
    </xf>
    <xf numFmtId="169" fontId="256" fillId="0" borderId="0" xfId="1" applyFont="1" applyFill="1" applyAlignment="1">
      <alignment horizontal="left"/>
    </xf>
    <xf numFmtId="169" fontId="250" fillId="0" borderId="0" xfId="1" applyFont="1" applyFill="1" applyBorder="1" applyAlignment="1">
      <alignment horizontal="left"/>
    </xf>
    <xf numFmtId="0" fontId="288" fillId="0" borderId="0" xfId="4" applyFont="1" applyAlignment="1">
      <alignment wrapText="1"/>
    </xf>
    <xf numFmtId="169" fontId="250" fillId="0" borderId="0" xfId="1" applyFont="1" applyFill="1" applyAlignment="1">
      <alignment horizontal="left" vertical="center"/>
    </xf>
    <xf numFmtId="169" fontId="250" fillId="0" borderId="1" xfId="1" applyFont="1" applyFill="1" applyBorder="1" applyAlignment="1">
      <alignment horizontal="center" wrapText="1"/>
    </xf>
    <xf numFmtId="173" fontId="250" fillId="0" borderId="1" xfId="0" applyNumberFormat="1" applyFont="1" applyBorder="1" applyAlignment="1">
      <alignment horizontal="center"/>
    </xf>
    <xf numFmtId="180" fontId="250" fillId="0" borderId="1" xfId="0" applyNumberFormat="1" applyFont="1" applyBorder="1" applyAlignment="1">
      <alignment horizontal="center"/>
    </xf>
    <xf numFmtId="169" fontId="250" fillId="0" borderId="1" xfId="1" applyFont="1" applyFill="1" applyBorder="1" applyAlignment="1">
      <alignment horizontal="center"/>
    </xf>
    <xf numFmtId="173" fontId="250" fillId="0" borderId="1" xfId="0" applyNumberFormat="1" applyFont="1" applyBorder="1" applyAlignment="1">
      <alignment horizontal="center" wrapText="1"/>
    </xf>
    <xf numFmtId="180" fontId="250" fillId="0" borderId="1" xfId="0" applyNumberFormat="1" applyFont="1" applyBorder="1" applyAlignment="1">
      <alignment horizontal="center" wrapText="1"/>
    </xf>
    <xf numFmtId="173" fontId="310" fillId="0" borderId="1" xfId="0" applyNumberFormat="1" applyFont="1" applyBorder="1" applyAlignment="1">
      <alignment horizontal="center" vertical="center" wrapText="1"/>
    </xf>
    <xf numFmtId="180" fontId="310" fillId="0" borderId="1" xfId="0" applyNumberFormat="1" applyFont="1" applyBorder="1" applyAlignment="1">
      <alignment horizontal="center" vertical="center" wrapText="1"/>
    </xf>
    <xf numFmtId="169" fontId="310" fillId="0" borderId="1" xfId="1" applyFont="1" applyFill="1" applyBorder="1" applyAlignment="1">
      <alignment horizontal="center" vertical="center" wrapText="1"/>
    </xf>
    <xf numFmtId="0" fontId="250" fillId="0" borderId="1" xfId="0" applyFont="1" applyBorder="1" applyAlignment="1">
      <alignment horizontal="center" vertical="center" wrapText="1"/>
    </xf>
    <xf numFmtId="0" fontId="311" fillId="31" borderId="1" xfId="0" applyFont="1" applyFill="1" applyBorder="1" applyAlignment="1">
      <alignment horizontal="center" vertical="center" wrapText="1"/>
    </xf>
    <xf numFmtId="0" fontId="264" fillId="30" borderId="1" xfId="0" applyFont="1" applyFill="1" applyBorder="1" applyAlignment="1">
      <alignment horizontal="center" vertical="center"/>
    </xf>
    <xf numFmtId="169" fontId="264" fillId="30" borderId="1" xfId="1" applyFont="1" applyFill="1" applyBorder="1" applyAlignment="1">
      <alignment horizontal="center" vertical="center"/>
    </xf>
    <xf numFmtId="0" fontId="264" fillId="30" borderId="1" xfId="0" applyFont="1" applyFill="1" applyBorder="1" applyAlignment="1">
      <alignment horizontal="center" vertical="center" wrapText="1"/>
    </xf>
    <xf numFmtId="169" fontId="288" fillId="0" borderId="0" xfId="1" applyFont="1" applyFill="1" applyBorder="1" applyAlignment="1">
      <alignment horizontal="left" vertical="center" wrapText="1"/>
    </xf>
    <xf numFmtId="169" fontId="264" fillId="30" borderId="1" xfId="1" applyFont="1" applyFill="1" applyBorder="1" applyAlignment="1">
      <alignment horizontal="center" vertical="center" wrapText="1"/>
    </xf>
    <xf numFmtId="169" fontId="256" fillId="0" borderId="0" xfId="1" applyFont="1" applyFill="1" applyAlignment="1">
      <alignment horizontal="center" vertical="center"/>
    </xf>
    <xf numFmtId="169" fontId="264" fillId="0" borderId="0" xfId="1" applyFont="1" applyFill="1" applyBorder="1" applyAlignment="1">
      <alignment horizontal="center" vertical="center"/>
    </xf>
    <xf numFmtId="169" fontId="264" fillId="0" borderId="0" xfId="1" applyFont="1" applyFill="1" applyAlignment="1">
      <alignment vertical="center"/>
    </xf>
    <xf numFmtId="0" fontId="315" fillId="0" borderId="0" xfId="0" applyFont="1" applyAlignment="1">
      <alignment vertical="center"/>
    </xf>
    <xf numFmtId="0" fontId="257" fillId="0" borderId="0" xfId="0" applyFont="1" applyAlignment="1">
      <alignment vertical="center" wrapText="1"/>
    </xf>
    <xf numFmtId="169" fontId="257" fillId="0" borderId="0" xfId="1" applyFont="1" applyFill="1" applyAlignment="1">
      <alignment vertical="center"/>
    </xf>
    <xf numFmtId="169" fontId="316" fillId="0" borderId="0" xfId="1" applyFont="1" applyFill="1" applyAlignment="1">
      <alignment vertical="center"/>
    </xf>
    <xf numFmtId="0" fontId="316" fillId="0" borderId="0" xfId="0" applyFont="1" applyAlignment="1">
      <alignment vertical="center"/>
    </xf>
    <xf numFmtId="170" fontId="257" fillId="0" borderId="0" xfId="1" applyNumberFormat="1" applyFont="1" applyFill="1" applyAlignment="1">
      <alignment vertical="center"/>
    </xf>
    <xf numFmtId="0" fontId="314" fillId="0" borderId="0" xfId="0" applyFont="1" applyAlignment="1">
      <alignment horizontal="left" vertical="center"/>
    </xf>
    <xf numFmtId="0" fontId="290" fillId="0" borderId="4" xfId="0" applyFont="1" applyBorder="1" applyAlignment="1">
      <alignment horizontal="center" vertical="center"/>
    </xf>
    <xf numFmtId="0" fontId="250" fillId="0" borderId="15" xfId="35071" applyFont="1" applyBorder="1" applyAlignment="1">
      <alignment vertical="center"/>
    </xf>
    <xf numFmtId="0" fontId="312" fillId="0" borderId="46" xfId="43935" applyFont="1" applyBorder="1" applyAlignment="1">
      <alignment vertical="center" wrapText="1"/>
    </xf>
    <xf numFmtId="0" fontId="251" fillId="0" borderId="46" xfId="43896" applyBorder="1" applyAlignment="1">
      <alignment horizontal="right" vertical="center" wrapText="1"/>
    </xf>
    <xf numFmtId="4" fontId="251" fillId="0" borderId="46" xfId="43896" applyNumberFormat="1" applyBorder="1" applyAlignment="1">
      <alignment horizontal="right" vertical="center" wrapText="1"/>
    </xf>
    <xf numFmtId="0" fontId="250" fillId="0" borderId="34" xfId="35074" applyFont="1" applyBorder="1" applyAlignment="1">
      <alignment horizontal="right" vertical="center" wrapText="1"/>
    </xf>
    <xf numFmtId="0" fontId="251" fillId="0" borderId="34" xfId="35120" applyFont="1" applyBorder="1" applyAlignment="1">
      <alignment horizontal="right" vertical="center" wrapText="1"/>
    </xf>
    <xf numFmtId="0" fontId="312" fillId="27" borderId="45" xfId="43936" applyFont="1" applyFill="1" applyBorder="1" applyAlignment="1">
      <alignment horizontal="center"/>
    </xf>
    <xf numFmtId="0" fontId="105" fillId="0" borderId="0" xfId="43948"/>
    <xf numFmtId="169" fontId="0" fillId="0" borderId="0" xfId="0" applyNumberFormat="1"/>
    <xf numFmtId="0" fontId="252" fillId="0" borderId="46" xfId="35101" applyFont="1" applyBorder="1" applyAlignment="1">
      <alignment wrapText="1"/>
    </xf>
    <xf numFmtId="0" fontId="252" fillId="0" borderId="46" xfId="43991" applyFont="1" applyBorder="1" applyAlignment="1">
      <alignment wrapText="1"/>
    </xf>
    <xf numFmtId="0" fontId="252" fillId="0" borderId="46" xfId="43991" applyFont="1" applyBorder="1" applyAlignment="1">
      <alignment horizontal="right" wrapText="1"/>
    </xf>
    <xf numFmtId="4" fontId="256" fillId="0" borderId="0" xfId="0" applyNumberFormat="1" applyFont="1" applyAlignment="1">
      <alignment horizontal="left" vertical="center"/>
    </xf>
    <xf numFmtId="4" fontId="325" fillId="0" borderId="0" xfId="0" applyNumberFormat="1" applyFont="1" applyAlignment="1">
      <alignment horizontal="center" vertical="center"/>
    </xf>
    <xf numFmtId="4" fontId="256" fillId="0" borderId="0" xfId="0" applyNumberFormat="1" applyFont="1" applyAlignment="1">
      <alignment horizontal="center" vertical="center" wrapText="1"/>
    </xf>
    <xf numFmtId="199" fontId="256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64" fillId="0" borderId="1" xfId="1" applyFont="1" applyFill="1" applyBorder="1" applyAlignment="1">
      <alignment horizontal="center" vertical="center"/>
    </xf>
    <xf numFmtId="200" fontId="259" fillId="0" borderId="1" xfId="0" applyNumberFormat="1" applyFont="1" applyBorder="1" applyAlignment="1">
      <alignment horizontal="center" vertical="center" wrapText="1"/>
    </xf>
    <xf numFmtId="43" fontId="256" fillId="0" borderId="0" xfId="0" applyNumberFormat="1" applyFont="1" applyAlignment="1">
      <alignment vertical="center"/>
    </xf>
    <xf numFmtId="0" fontId="252" fillId="0" borderId="51" xfId="35128" applyFont="1" applyBorder="1" applyAlignment="1">
      <alignment wrapText="1"/>
    </xf>
    <xf numFmtId="0" fontId="252" fillId="0" borderId="51" xfId="35128" applyFont="1" applyBorder="1" applyAlignment="1">
      <alignment horizontal="right" wrapText="1"/>
    </xf>
    <xf numFmtId="169" fontId="252" fillId="0" borderId="51" xfId="1" applyFont="1" applyFill="1" applyBorder="1" applyAlignment="1">
      <alignment horizontal="right" wrapText="1"/>
    </xf>
    <xf numFmtId="0" fontId="315" fillId="0" borderId="0" xfId="0" applyFont="1" applyAlignment="1">
      <alignment horizontal="left" vertical="center"/>
    </xf>
    <xf numFmtId="4" fontId="315" fillId="0" borderId="0" xfId="0" applyNumberFormat="1" applyFont="1" applyAlignment="1">
      <alignment horizontal="center" vertical="center"/>
    </xf>
    <xf numFmtId="169" fontId="315" fillId="0" borderId="0" xfId="1" applyFont="1" applyFill="1" applyBorder="1" applyAlignment="1">
      <alignment vertical="center"/>
    </xf>
    <xf numFmtId="43" fontId="315" fillId="0" borderId="0" xfId="0" applyNumberFormat="1" applyFont="1" applyAlignment="1">
      <alignment vertical="center"/>
    </xf>
    <xf numFmtId="4" fontId="315" fillId="0" borderId="0" xfId="0" applyNumberFormat="1" applyFont="1" applyAlignment="1">
      <alignment vertical="center"/>
    </xf>
    <xf numFmtId="0" fontId="290" fillId="2" borderId="0" xfId="0" applyFont="1" applyFill="1" applyAlignment="1">
      <alignment vertical="center"/>
    </xf>
    <xf numFmtId="0" fontId="256" fillId="2" borderId="0" xfId="0" applyFont="1" applyFill="1" applyAlignment="1">
      <alignment vertical="center"/>
    </xf>
    <xf numFmtId="17" fontId="264" fillId="2" borderId="0" xfId="0" applyNumberFormat="1" applyFont="1" applyFill="1" applyAlignment="1">
      <alignment vertical="center" wrapText="1"/>
    </xf>
    <xf numFmtId="0" fontId="290" fillId="2" borderId="0" xfId="35071" applyFont="1" applyFill="1" applyAlignment="1">
      <alignment vertical="center"/>
    </xf>
    <xf numFmtId="0" fontId="290" fillId="2" borderId="0" xfId="0" applyFont="1" applyFill="1" applyAlignment="1">
      <alignment horizontal="center" vertical="center"/>
    </xf>
    <xf numFmtId="0" fontId="264" fillId="2" borderId="0" xfId="0" applyFont="1" applyFill="1" applyAlignment="1">
      <alignment horizontal="center" vertical="center"/>
    </xf>
    <xf numFmtId="0" fontId="250" fillId="2" borderId="0" xfId="35071" applyFont="1" applyFill="1" applyAlignment="1">
      <alignment vertical="center"/>
    </xf>
    <xf numFmtId="171" fontId="250" fillId="2" borderId="0" xfId="1" applyNumberFormat="1" applyFont="1" applyFill="1" applyBorder="1" applyAlignment="1">
      <alignment horizontal="center" vertical="center"/>
    </xf>
    <xf numFmtId="173" fontId="250" fillId="2" borderId="0" xfId="0" applyNumberFormat="1" applyFont="1" applyFill="1" applyAlignment="1">
      <alignment vertical="center"/>
    </xf>
    <xf numFmtId="171" fontId="256" fillId="2" borderId="0" xfId="1" applyNumberFormat="1" applyFont="1" applyFill="1" applyBorder="1" applyAlignment="1">
      <alignment horizontal="center" vertical="center"/>
    </xf>
    <xf numFmtId="173" fontId="256" fillId="2" borderId="0" xfId="0" applyNumberFormat="1" applyFont="1" applyFill="1" applyAlignment="1">
      <alignment vertical="center"/>
    </xf>
    <xf numFmtId="178" fontId="290" fillId="2" borderId="0" xfId="0" applyNumberFormat="1" applyFont="1" applyFill="1" applyAlignment="1">
      <alignment horizontal="center" vertical="center"/>
    </xf>
    <xf numFmtId="171" fontId="290" fillId="2" borderId="0" xfId="1" applyNumberFormat="1" applyFont="1" applyFill="1" applyBorder="1" applyAlignment="1">
      <alignment horizontal="center" vertical="center"/>
    </xf>
    <xf numFmtId="176" fontId="250" fillId="2" borderId="0" xfId="0" applyNumberFormat="1" applyFont="1" applyFill="1" applyAlignment="1">
      <alignment vertical="center"/>
    </xf>
    <xf numFmtId="171" fontId="264" fillId="2" borderId="0" xfId="1" applyNumberFormat="1" applyFont="1" applyFill="1" applyBorder="1" applyAlignment="1">
      <alignment horizontal="left" vertical="center"/>
    </xf>
    <xf numFmtId="176" fontId="256" fillId="2" borderId="0" xfId="0" applyNumberFormat="1" applyFont="1" applyFill="1" applyAlignment="1">
      <alignment vertical="center"/>
    </xf>
    <xf numFmtId="170" fontId="256" fillId="2" borderId="0" xfId="1" applyNumberFormat="1" applyFont="1" applyFill="1" applyBorder="1" applyAlignment="1">
      <alignment vertical="center"/>
    </xf>
    <xf numFmtId="1" fontId="256" fillId="2" borderId="0" xfId="0" applyNumberFormat="1" applyFont="1" applyFill="1" applyAlignment="1">
      <alignment vertical="center"/>
    </xf>
    <xf numFmtId="0" fontId="252" fillId="27" borderId="50" xfId="44025" applyFont="1" applyFill="1" applyBorder="1" applyAlignment="1">
      <alignment horizontal="center"/>
    </xf>
    <xf numFmtId="0" fontId="252" fillId="0" borderId="53" xfId="44025" applyFont="1" applyBorder="1" applyAlignment="1">
      <alignment wrapText="1"/>
    </xf>
    <xf numFmtId="0" fontId="327" fillId="27" borderId="50" xfId="44026" applyFont="1" applyFill="1" applyBorder="1" applyAlignment="1">
      <alignment horizontal="center"/>
    </xf>
    <xf numFmtId="0" fontId="327" fillId="0" borderId="53" xfId="44026" applyFont="1" applyBorder="1" applyAlignment="1">
      <alignment wrapText="1"/>
    </xf>
    <xf numFmtId="0" fontId="327" fillId="0" borderId="53" xfId="44026" applyFont="1" applyBorder="1" applyAlignment="1">
      <alignment horizontal="right" wrapText="1"/>
    </xf>
    <xf numFmtId="4" fontId="327" fillId="0" borderId="53" xfId="44026" applyNumberFormat="1" applyFont="1" applyBorder="1" applyAlignment="1">
      <alignment horizontal="right" wrapText="1"/>
    </xf>
    <xf numFmtId="0" fontId="327" fillId="29" borderId="53" xfId="35101" applyFont="1" applyFill="1" applyBorder="1" applyAlignment="1">
      <alignment horizontal="right" wrapText="1"/>
    </xf>
    <xf numFmtId="0" fontId="293" fillId="0" borderId="28" xfId="35058" applyBorder="1"/>
    <xf numFmtId="10" fontId="256" fillId="0" borderId="0" xfId="35075" applyNumberFormat="1" applyFont="1" applyFill="1" applyAlignment="1">
      <alignment horizontal="center" vertical="center" wrapText="1"/>
    </xf>
    <xf numFmtId="209" fontId="256" fillId="0" borderId="1" xfId="0" applyNumberFormat="1" applyFont="1" applyBorder="1" applyAlignment="1">
      <alignment horizontal="center" vertical="center" wrapText="1"/>
    </xf>
    <xf numFmtId="0" fontId="252" fillId="0" borderId="53" xfId="44026" applyFont="1" applyBorder="1" applyAlignment="1">
      <alignment wrapText="1"/>
    </xf>
    <xf numFmtId="174" fontId="256" fillId="0" borderId="0" xfId="2" applyNumberFormat="1" applyFont="1" applyFill="1" applyAlignment="1">
      <alignment horizontal="center" vertical="center"/>
    </xf>
    <xf numFmtId="174" fontId="250" fillId="0" borderId="0" xfId="2" applyNumberFormat="1" applyFont="1" applyFill="1" applyAlignment="1">
      <alignment horizontal="center" vertical="center"/>
    </xf>
    <xf numFmtId="174" fontId="264" fillId="0" borderId="0" xfId="2" applyNumberFormat="1" applyFont="1" applyFill="1" applyAlignment="1">
      <alignment horizontal="center" vertical="center"/>
    </xf>
    <xf numFmtId="174" fontId="290" fillId="0" borderId="0" xfId="2" applyNumberFormat="1" applyFont="1" applyFill="1" applyAlignment="1">
      <alignment horizontal="center" vertical="center"/>
    </xf>
    <xf numFmtId="169" fontId="315" fillId="0" borderId="1" xfId="1" applyFont="1" applyFill="1" applyBorder="1" applyAlignment="1">
      <alignment vertical="center"/>
    </xf>
    <xf numFmtId="2" fontId="256" fillId="0" borderId="0" xfId="0" applyNumberFormat="1" applyFont="1" applyAlignment="1">
      <alignment horizontal="center" vertical="center"/>
    </xf>
    <xf numFmtId="0" fontId="258" fillId="0" borderId="1" xfId="0" applyFont="1" applyBorder="1" applyAlignment="1">
      <alignment horizontal="center" vertical="center" wrapText="1"/>
    </xf>
    <xf numFmtId="0" fontId="257" fillId="0" borderId="0" xfId="0" applyFont="1" applyAlignment="1">
      <alignment horizontal="center" vertical="center"/>
    </xf>
    <xf numFmtId="0" fontId="258" fillId="0" borderId="30" xfId="0" applyFont="1" applyBorder="1" applyAlignment="1">
      <alignment horizontal="center" vertical="center"/>
    </xf>
    <xf numFmtId="1" fontId="257" fillId="0" borderId="0" xfId="0" applyNumberFormat="1" applyFont="1" applyAlignment="1">
      <alignment horizontal="center" vertical="center"/>
    </xf>
    <xf numFmtId="1" fontId="257" fillId="0" borderId="0" xfId="0" applyNumberFormat="1" applyFont="1" applyAlignment="1">
      <alignment horizontal="center" vertical="center" wrapText="1"/>
    </xf>
    <xf numFmtId="204" fontId="257" fillId="0" borderId="0" xfId="0" applyNumberFormat="1" applyFont="1" applyAlignment="1">
      <alignment horizontal="center" vertical="center"/>
    </xf>
    <xf numFmtId="172" fontId="257" fillId="0" borderId="0" xfId="0" applyNumberFormat="1" applyFont="1" applyAlignment="1">
      <alignment horizontal="center" vertical="center"/>
    </xf>
    <xf numFmtId="174" fontId="257" fillId="0" borderId="0" xfId="2" applyNumberFormat="1" applyFont="1" applyFill="1" applyAlignment="1">
      <alignment vertical="center"/>
    </xf>
    <xf numFmtId="9" fontId="257" fillId="0" borderId="0" xfId="2" applyFont="1" applyFill="1" applyAlignment="1">
      <alignment horizontal="center" vertical="center"/>
    </xf>
    <xf numFmtId="0" fontId="257" fillId="0" borderId="0" xfId="77" applyFont="1" applyAlignment="1">
      <alignment horizontal="left" vertical="center"/>
    </xf>
    <xf numFmtId="193" fontId="257" fillId="0" borderId="0" xfId="77" applyNumberFormat="1" applyFont="1" applyAlignment="1">
      <alignment horizontal="center" vertical="center"/>
    </xf>
    <xf numFmtId="0" fontId="257" fillId="0" borderId="0" xfId="0" applyFont="1" applyAlignment="1">
      <alignment horizontal="center" vertical="center" wrapText="1"/>
    </xf>
    <xf numFmtId="190" fontId="257" fillId="0" borderId="0" xfId="0" applyNumberFormat="1" applyFont="1" applyAlignment="1">
      <alignment horizontal="center" vertical="center" wrapText="1"/>
    </xf>
    <xf numFmtId="169" fontId="257" fillId="0" borderId="0" xfId="1" applyFont="1" applyFill="1" applyAlignment="1">
      <alignment horizontal="center" vertical="center"/>
    </xf>
    <xf numFmtId="1" fontId="257" fillId="0" borderId="0" xfId="4" applyNumberFormat="1" applyFont="1" applyAlignment="1">
      <alignment horizontal="center" vertical="center" wrapText="1"/>
    </xf>
    <xf numFmtId="1" fontId="257" fillId="0" borderId="0" xfId="4" applyNumberFormat="1" applyFont="1" applyAlignment="1">
      <alignment horizontal="center" vertical="center"/>
    </xf>
    <xf numFmtId="0" fontId="257" fillId="0" borderId="0" xfId="4" applyFont="1" applyAlignment="1">
      <alignment horizontal="center" vertical="center"/>
    </xf>
    <xf numFmtId="9" fontId="257" fillId="0" borderId="0" xfId="2" applyFont="1" applyFill="1" applyAlignment="1">
      <alignment vertical="center"/>
    </xf>
    <xf numFmtId="0" fontId="258" fillId="0" borderId="0" xfId="0" applyFont="1" applyAlignment="1">
      <alignment vertical="center"/>
    </xf>
    <xf numFmtId="0" fontId="258" fillId="0" borderId="0" xfId="0" applyFont="1" applyAlignment="1">
      <alignment horizontal="center" vertical="center"/>
    </xf>
    <xf numFmtId="0" fontId="257" fillId="0" borderId="0" xfId="3" applyFont="1" applyAlignment="1">
      <alignment horizontal="center" vertical="center" wrapText="1"/>
    </xf>
    <xf numFmtId="204" fontId="257" fillId="0" borderId="0" xfId="0" applyNumberFormat="1" applyFont="1" applyAlignment="1">
      <alignment horizontal="center" vertical="center" wrapText="1"/>
    </xf>
    <xf numFmtId="171" fontId="257" fillId="0" borderId="0" xfId="1" applyNumberFormat="1" applyFont="1" applyFill="1" applyBorder="1" applyAlignment="1">
      <alignment horizontal="center" vertical="center"/>
    </xf>
    <xf numFmtId="177" fontId="257" fillId="0" borderId="0" xfId="0" applyNumberFormat="1" applyFont="1" applyAlignment="1">
      <alignment vertical="center"/>
    </xf>
    <xf numFmtId="199" fontId="257" fillId="0" borderId="0" xfId="2" applyNumberFormat="1" applyFont="1" applyFill="1" applyAlignment="1">
      <alignment vertical="center"/>
    </xf>
    <xf numFmtId="0" fontId="257" fillId="0" borderId="0" xfId="0" applyFont="1" applyAlignment="1">
      <alignment horizontal="left" vertical="center"/>
    </xf>
    <xf numFmtId="169" fontId="257" fillId="0" borderId="0" xfId="0" applyNumberFormat="1" applyFont="1" applyAlignment="1">
      <alignment horizontal="center" vertical="center" wrapText="1"/>
    </xf>
    <xf numFmtId="1" fontId="258" fillId="0" borderId="30" xfId="8848" applyNumberFormat="1" applyFont="1" applyFill="1" applyBorder="1" applyAlignment="1">
      <alignment horizontal="center" vertical="center" wrapText="1"/>
    </xf>
    <xf numFmtId="178" fontId="257" fillId="0" borderId="0" xfId="0" applyNumberFormat="1" applyFont="1" applyAlignment="1">
      <alignment horizontal="center" vertical="center"/>
    </xf>
    <xf numFmtId="3" fontId="257" fillId="0" borderId="0" xfId="1" applyNumberFormat="1" applyFont="1" applyFill="1" applyBorder="1" applyAlignment="1">
      <alignment horizontal="center" vertical="center" wrapText="1"/>
    </xf>
    <xf numFmtId="173" fontId="257" fillId="0" borderId="0" xfId="0" applyNumberFormat="1" applyFont="1" applyAlignment="1">
      <alignment vertical="center" wrapText="1"/>
    </xf>
    <xf numFmtId="180" fontId="257" fillId="0" borderId="0" xfId="0" applyNumberFormat="1" applyFont="1" applyAlignment="1">
      <alignment horizontal="center" vertical="center"/>
    </xf>
    <xf numFmtId="180" fontId="314" fillId="0" borderId="0" xfId="0" applyNumberFormat="1" applyFont="1" applyAlignment="1">
      <alignment horizontal="justify" vertical="center" wrapText="1"/>
    </xf>
    <xf numFmtId="49" fontId="257" fillId="0" borderId="0" xfId="0" applyNumberFormat="1" applyFont="1" applyAlignment="1">
      <alignment vertical="center"/>
    </xf>
    <xf numFmtId="175" fontId="257" fillId="0" borderId="0" xfId="1" applyNumberFormat="1" applyFont="1" applyFill="1" applyBorder="1" applyAlignment="1">
      <alignment horizontal="center" vertical="center" wrapText="1"/>
    </xf>
    <xf numFmtId="173" fontId="257" fillId="0" borderId="0" xfId="0" applyNumberFormat="1" applyFont="1" applyAlignment="1">
      <alignment vertical="center"/>
    </xf>
    <xf numFmtId="0" fontId="318" fillId="0" borderId="0" xfId="0" applyFont="1" applyAlignment="1">
      <alignment vertical="center"/>
    </xf>
    <xf numFmtId="178" fontId="257" fillId="0" borderId="0" xfId="0" applyNumberFormat="1" applyFont="1" applyAlignment="1">
      <alignment horizontal="left" vertical="center"/>
    </xf>
    <xf numFmtId="0" fontId="252" fillId="27" borderId="0" xfId="44025" applyFont="1" applyFill="1" applyAlignment="1">
      <alignment horizontal="center"/>
    </xf>
    <xf numFmtId="0" fontId="252" fillId="0" borderId="54" xfId="44025" applyFont="1" applyBorder="1" applyAlignment="1">
      <alignment horizontal="right" wrapText="1"/>
    </xf>
    <xf numFmtId="180" fontId="257" fillId="33" borderId="0" xfId="35087" applyNumberFormat="1" applyFont="1" applyFill="1" applyBorder="1" applyAlignment="1">
      <alignment vertical="center"/>
    </xf>
    <xf numFmtId="196" fontId="257" fillId="0" borderId="0" xfId="35087" applyNumberFormat="1" applyFont="1" applyFill="1" applyBorder="1" applyAlignment="1">
      <alignment vertical="center"/>
    </xf>
    <xf numFmtId="176" fontId="333" fillId="0" borderId="0" xfId="0" applyNumberFormat="1" applyFont="1" applyAlignment="1">
      <alignment vertical="center"/>
    </xf>
    <xf numFmtId="9" fontId="334" fillId="0" borderId="0" xfId="2" applyFont="1" applyFill="1" applyAlignment="1">
      <alignment vertical="center"/>
    </xf>
    <xf numFmtId="199" fontId="257" fillId="0" borderId="0" xfId="77" applyNumberFormat="1" applyFont="1" applyAlignment="1">
      <alignment horizontal="left" vertical="center"/>
    </xf>
    <xf numFmtId="0" fontId="264" fillId="0" borderId="58" xfId="77" applyFont="1" applyBorder="1" applyAlignment="1">
      <alignment horizontal="center" vertical="center" wrapText="1"/>
    </xf>
    <xf numFmtId="2" fontId="264" fillId="0" borderId="58" xfId="0" applyNumberFormat="1" applyFont="1" applyBorder="1" applyAlignment="1">
      <alignment horizontal="center" vertical="center"/>
    </xf>
    <xf numFmtId="4" fontId="0" fillId="0" borderId="0" xfId="0" applyNumberFormat="1"/>
    <xf numFmtId="0" fontId="252" fillId="0" borderId="54" xfId="44026" applyFont="1" applyBorder="1" applyAlignment="1">
      <alignment horizontal="right" wrapText="1"/>
    </xf>
    <xf numFmtId="4" fontId="252" fillId="0" borderId="54" xfId="44026" applyNumberFormat="1" applyFont="1" applyBorder="1" applyAlignment="1">
      <alignment horizontal="right" wrapText="1"/>
    </xf>
    <xf numFmtId="0" fontId="295" fillId="0" borderId="54" xfId="35099" applyBorder="1" applyAlignment="1">
      <alignment horizontal="right" wrapText="1"/>
    </xf>
    <xf numFmtId="169" fontId="251" fillId="0" borderId="54" xfId="1" applyFont="1" applyFill="1" applyBorder="1" applyAlignment="1">
      <alignment horizontal="right" wrapText="1"/>
    </xf>
    <xf numFmtId="199" fontId="256" fillId="0" borderId="0" xfId="0" applyNumberFormat="1" applyFont="1" applyAlignment="1">
      <alignment horizontal="center" vertical="center" wrapText="1"/>
    </xf>
    <xf numFmtId="49" fontId="257" fillId="0" borderId="0" xfId="0" applyNumberFormat="1" applyFont="1" applyAlignment="1">
      <alignment horizontal="center" vertical="center"/>
    </xf>
    <xf numFmtId="0" fontId="314" fillId="0" borderId="0" xfId="0" applyFont="1" applyAlignment="1">
      <alignment horizontal="justify" vertical="center" wrapText="1"/>
    </xf>
    <xf numFmtId="0" fontId="258" fillId="0" borderId="57" xfId="0" applyFont="1" applyBorder="1" applyAlignment="1">
      <alignment horizontal="center" vertical="center"/>
    </xf>
    <xf numFmtId="0" fontId="258" fillId="0" borderId="58" xfId="77" applyFont="1" applyBorder="1" applyAlignment="1">
      <alignment horizontal="center" vertical="center"/>
    </xf>
    <xf numFmtId="199" fontId="258" fillId="0" borderId="56" xfId="5" applyNumberFormat="1" applyFont="1" applyFill="1" applyBorder="1" applyAlignment="1">
      <alignment horizontal="center" vertical="center" wrapText="1"/>
    </xf>
    <xf numFmtId="0" fontId="258" fillId="0" borderId="55" xfId="0" applyFont="1" applyBorder="1" applyAlignment="1">
      <alignment horizontal="center" vertical="center"/>
    </xf>
    <xf numFmtId="0" fontId="258" fillId="0" borderId="56" xfId="0" applyFont="1" applyBorder="1" applyAlignment="1">
      <alignment horizontal="center" vertical="center"/>
    </xf>
    <xf numFmtId="0" fontId="258" fillId="0" borderId="56" xfId="4" applyFont="1" applyBorder="1" applyAlignment="1">
      <alignment horizontal="center" vertical="center"/>
    </xf>
    <xf numFmtId="178" fontId="258" fillId="0" borderId="56" xfId="0" applyNumberFormat="1" applyFont="1" applyBorder="1" applyAlignment="1">
      <alignment horizontal="center" vertical="center"/>
    </xf>
    <xf numFmtId="178" fontId="258" fillId="0" borderId="55" xfId="0" applyNumberFormat="1" applyFont="1" applyBorder="1" applyAlignment="1">
      <alignment horizontal="center" vertical="center"/>
    </xf>
    <xf numFmtId="178" fontId="258" fillId="0" borderId="56" xfId="0" applyNumberFormat="1" applyFont="1" applyBorder="1" applyAlignment="1">
      <alignment horizontal="center" vertical="center" wrapText="1"/>
    </xf>
    <xf numFmtId="178" fontId="258" fillId="0" borderId="55" xfId="0" applyNumberFormat="1" applyFont="1" applyBorder="1" applyAlignment="1">
      <alignment horizontal="left" vertical="center"/>
    </xf>
    <xf numFmtId="199" fontId="258" fillId="0" borderId="58" xfId="5" applyNumberFormat="1" applyFont="1" applyFill="1" applyBorder="1" applyAlignment="1">
      <alignment horizontal="center" vertical="center" wrapText="1"/>
    </xf>
    <xf numFmtId="0" fontId="258" fillId="0" borderId="58" xfId="77" applyFont="1" applyBorder="1" applyAlignment="1">
      <alignment horizontal="right" vertical="center"/>
    </xf>
    <xf numFmtId="204" fontId="258" fillId="0" borderId="58" xfId="5" applyNumberFormat="1" applyFont="1" applyFill="1" applyBorder="1" applyAlignment="1">
      <alignment horizontal="center" vertical="center" wrapText="1"/>
    </xf>
    <xf numFmtId="0" fontId="256" fillId="0" borderId="58" xfId="0" applyFont="1" applyBorder="1" applyAlignment="1">
      <alignment horizontal="center" vertical="center"/>
    </xf>
    <xf numFmtId="2" fontId="256" fillId="0" borderId="58" xfId="0" applyNumberFormat="1" applyFont="1" applyBorder="1" applyAlignment="1">
      <alignment horizontal="center" vertical="center"/>
    </xf>
    <xf numFmtId="180" fontId="256" fillId="0" borderId="15" xfId="0" applyNumberFormat="1" applyFont="1" applyBorder="1" applyAlignment="1">
      <alignment horizontal="center" vertical="center" wrapText="1"/>
    </xf>
    <xf numFmtId="3" fontId="255" fillId="0" borderId="15" xfId="0" applyNumberFormat="1" applyFont="1" applyBorder="1" applyAlignment="1">
      <alignment horizontal="center" vertical="center"/>
    </xf>
    <xf numFmtId="0" fontId="314" fillId="0" borderId="0" xfId="0" applyFont="1" applyAlignment="1">
      <alignment horizontal="left" vertical="center" wrapText="1"/>
    </xf>
    <xf numFmtId="0" fontId="258" fillId="0" borderId="55" xfId="0" applyFont="1" applyBorder="1" applyAlignment="1">
      <alignment horizontal="center" vertical="center" wrapText="1"/>
    </xf>
    <xf numFmtId="0" fontId="258" fillId="0" borderId="0" xfId="0" applyFont="1" applyAlignment="1">
      <alignment horizontal="left" vertical="center"/>
    </xf>
    <xf numFmtId="0" fontId="257" fillId="0" borderId="0" xfId="0" applyFont="1" applyAlignment="1">
      <alignment horizontal="centerContinuous" vertical="center"/>
    </xf>
    <xf numFmtId="1" fontId="257" fillId="0" borderId="0" xfId="0" applyNumberFormat="1" applyFont="1" applyAlignment="1">
      <alignment vertical="center" wrapText="1"/>
    </xf>
    <xf numFmtId="195" fontId="257" fillId="0" borderId="0" xfId="5" applyNumberFormat="1" applyFont="1" applyFill="1" applyAlignment="1">
      <alignment horizontal="center" vertical="center" wrapText="1"/>
    </xf>
    <xf numFmtId="9" fontId="257" fillId="0" borderId="0" xfId="2" applyFont="1" applyFill="1" applyAlignment="1">
      <alignment horizontal="center" vertical="center" wrapText="1"/>
    </xf>
    <xf numFmtId="10" fontId="257" fillId="0" borderId="0" xfId="2" applyNumberFormat="1" applyFont="1" applyFill="1" applyBorder="1" applyAlignment="1">
      <alignment vertical="center"/>
    </xf>
    <xf numFmtId="1" fontId="257" fillId="0" borderId="0" xfId="0" applyNumberFormat="1" applyFont="1" applyAlignment="1">
      <alignment vertical="center"/>
    </xf>
    <xf numFmtId="0" fontId="257" fillId="0" borderId="0" xfId="4" applyFont="1" applyAlignment="1">
      <alignment vertical="center"/>
    </xf>
    <xf numFmtId="176" fontId="257" fillId="0" borderId="0" xfId="0" applyNumberFormat="1" applyFont="1" applyAlignment="1">
      <alignment vertical="center"/>
    </xf>
    <xf numFmtId="178" fontId="257" fillId="0" borderId="0" xfId="0" applyNumberFormat="1" applyFont="1" applyAlignment="1">
      <alignment horizontal="centerContinuous" vertical="center"/>
    </xf>
    <xf numFmtId="9" fontId="257" fillId="0" borderId="0" xfId="2" applyFont="1" applyFill="1" applyBorder="1" applyAlignment="1">
      <alignment horizontal="center" vertical="center"/>
    </xf>
    <xf numFmtId="176" fontId="258" fillId="0" borderId="0" xfId="0" applyNumberFormat="1" applyFont="1" applyAlignment="1">
      <alignment vertical="center"/>
    </xf>
    <xf numFmtId="0" fontId="258" fillId="0" borderId="55" xfId="4" applyFont="1" applyBorder="1" applyAlignment="1">
      <alignment horizontal="center" vertical="center"/>
    </xf>
    <xf numFmtId="0" fontId="258" fillId="0" borderId="38" xfId="0" applyFont="1" applyBorder="1" applyAlignment="1">
      <alignment horizontal="center" vertical="center"/>
    </xf>
    <xf numFmtId="173" fontId="257" fillId="0" borderId="0" xfId="0" applyNumberFormat="1" applyFont="1" applyAlignment="1">
      <alignment horizontal="center" vertical="center" wrapText="1"/>
    </xf>
    <xf numFmtId="171" fontId="258" fillId="0" borderId="55" xfId="1" applyNumberFormat="1" applyFont="1" applyFill="1" applyBorder="1" applyAlignment="1">
      <alignment horizontal="center" vertical="center" wrapText="1"/>
    </xf>
    <xf numFmtId="0" fontId="258" fillId="0" borderId="38" xfId="0" applyFont="1" applyBorder="1" applyAlignment="1">
      <alignment horizontal="center" vertical="center" wrapText="1"/>
    </xf>
    <xf numFmtId="0" fontId="314" fillId="0" borderId="0" xfId="4" applyFont="1" applyAlignment="1">
      <alignment vertical="center" wrapText="1"/>
    </xf>
    <xf numFmtId="0" fontId="258" fillId="30" borderId="1" xfId="0" applyFont="1" applyFill="1" applyBorder="1" applyAlignment="1">
      <alignment horizontal="center" vertical="center"/>
    </xf>
    <xf numFmtId="169" fontId="258" fillId="30" borderId="1" xfId="1" applyFont="1" applyFill="1" applyBorder="1" applyAlignment="1">
      <alignment horizontal="center" vertical="center"/>
    </xf>
    <xf numFmtId="0" fontId="254" fillId="0" borderId="1" xfId="26" applyFont="1" applyBorder="1" applyAlignment="1">
      <alignment horizontal="center" vertical="center" wrapText="1"/>
    </xf>
    <xf numFmtId="1" fontId="63" fillId="0" borderId="39" xfId="26" applyNumberFormat="1" applyFont="1" applyBorder="1" applyAlignment="1">
      <alignment horizontal="center" vertical="center" wrapText="1"/>
    </xf>
    <xf numFmtId="165" fontId="63" fillId="0" borderId="39" xfId="26" applyNumberFormat="1" applyFont="1" applyBorder="1" applyAlignment="1">
      <alignment horizontal="center" vertical="center" wrapText="1"/>
    </xf>
    <xf numFmtId="1" fontId="63" fillId="0" borderId="1" xfId="26" applyNumberFormat="1" applyFont="1" applyBorder="1" applyAlignment="1">
      <alignment horizontal="center" vertical="center" wrapText="1"/>
    </xf>
    <xf numFmtId="1" fontId="63" fillId="0" borderId="47" xfId="26" applyNumberFormat="1" applyFont="1" applyBorder="1" applyAlignment="1">
      <alignment horizontal="center" vertical="center" wrapText="1"/>
    </xf>
    <xf numFmtId="165" fontId="63" fillId="0" borderId="47" xfId="26" applyNumberFormat="1" applyFont="1" applyBorder="1" applyAlignment="1">
      <alignment horizontal="center" vertical="center" wrapText="1"/>
    </xf>
    <xf numFmtId="165" fontId="63" fillId="0" borderId="1" xfId="26" applyNumberFormat="1" applyFont="1" applyBorder="1" applyAlignment="1">
      <alignment horizontal="center" vertical="center" wrapText="1"/>
    </xf>
    <xf numFmtId="0" fontId="254" fillId="26" borderId="1" xfId="0" applyFont="1" applyFill="1" applyBorder="1" applyAlignment="1">
      <alignment horizontal="center" vertical="center" wrapText="1"/>
    </xf>
    <xf numFmtId="1" fontId="254" fillId="26" borderId="1" xfId="0" applyNumberFormat="1" applyFont="1" applyFill="1" applyBorder="1" applyAlignment="1">
      <alignment horizontal="center" vertical="center" wrapText="1"/>
    </xf>
    <xf numFmtId="200" fontId="254" fillId="26" borderId="1" xfId="0" applyNumberFormat="1" applyFont="1" applyFill="1" applyBorder="1" applyAlignment="1">
      <alignment horizontal="center" vertical="center" wrapText="1"/>
    </xf>
    <xf numFmtId="178" fontId="258" fillId="0" borderId="17" xfId="0" applyNumberFormat="1" applyFont="1" applyBorder="1" applyAlignment="1">
      <alignment horizontal="center" vertical="center"/>
    </xf>
    <xf numFmtId="0" fontId="258" fillId="0" borderId="36" xfId="0" applyFont="1" applyBorder="1" applyAlignment="1">
      <alignment horizontal="center" vertical="center"/>
    </xf>
    <xf numFmtId="0" fontId="258" fillId="0" borderId="4" xfId="77" applyFont="1" applyBorder="1" applyAlignment="1">
      <alignment horizontal="center" vertical="center"/>
    </xf>
    <xf numFmtId="180" fontId="257" fillId="0" borderId="0" xfId="0" applyNumberFormat="1" applyFont="1" applyAlignment="1">
      <alignment horizontal="center" vertical="center" wrapText="1"/>
    </xf>
    <xf numFmtId="200" fontId="258" fillId="0" borderId="4" xfId="5" applyNumberFormat="1" applyFont="1" applyFill="1" applyBorder="1" applyAlignment="1">
      <alignment horizontal="center" vertical="center" wrapText="1"/>
    </xf>
    <xf numFmtId="0" fontId="257" fillId="0" borderId="0" xfId="0" applyFont="1" applyAlignment="1">
      <alignment horizontal="left" vertical="center" wrapText="1"/>
    </xf>
    <xf numFmtId="0" fontId="257" fillId="0" borderId="0" xfId="35071" applyFont="1" applyAlignment="1">
      <alignment vertical="center"/>
    </xf>
    <xf numFmtId="0" fontId="258" fillId="0" borderId="1" xfId="35071" applyFont="1" applyBorder="1" applyAlignment="1">
      <alignment vertical="center"/>
    </xf>
    <xf numFmtId="0" fontId="258" fillId="0" borderId="1" xfId="0" applyFont="1" applyBorder="1" applyAlignment="1">
      <alignment horizontal="center" vertical="center"/>
    </xf>
    <xf numFmtId="0" fontId="258" fillId="0" borderId="1" xfId="0" applyFont="1" applyBorder="1" applyAlignment="1">
      <alignment horizontal="centerContinuous" vertical="center"/>
    </xf>
    <xf numFmtId="0" fontId="257" fillId="0" borderId="1" xfId="35071" applyFont="1" applyBorder="1" applyAlignment="1">
      <alignment vertical="center"/>
    </xf>
    <xf numFmtId="178" fontId="258" fillId="0" borderId="1" xfId="0" applyNumberFormat="1" applyFont="1" applyBorder="1" applyAlignment="1">
      <alignment horizontal="centerContinuous" vertical="center"/>
    </xf>
    <xf numFmtId="180" fontId="258" fillId="0" borderId="0" xfId="0" applyNumberFormat="1" applyFont="1" applyAlignment="1">
      <alignment horizontal="center" vertical="center" wrapText="1"/>
    </xf>
    <xf numFmtId="178" fontId="258" fillId="0" borderId="0" xfId="0" applyNumberFormat="1" applyFont="1" applyAlignment="1">
      <alignment horizontal="centerContinuous" vertical="center"/>
    </xf>
    <xf numFmtId="215" fontId="257" fillId="0" borderId="0" xfId="0" applyNumberFormat="1" applyFont="1" applyAlignment="1">
      <alignment vertical="center"/>
    </xf>
    <xf numFmtId="0" fontId="258" fillId="0" borderId="1" xfId="77" applyFont="1" applyBorder="1" applyAlignment="1">
      <alignment horizontal="center" vertical="center"/>
    </xf>
    <xf numFmtId="178" fontId="258" fillId="0" borderId="1" xfId="0" applyNumberFormat="1" applyFont="1" applyBorder="1" applyAlignment="1">
      <alignment horizontal="center" vertical="center"/>
    </xf>
    <xf numFmtId="180" fontId="258" fillId="0" borderId="1" xfId="0" applyNumberFormat="1" applyFont="1" applyBorder="1" applyAlignment="1">
      <alignment horizontal="center" vertical="center" wrapText="1"/>
    </xf>
    <xf numFmtId="199" fontId="258" fillId="0" borderId="1" xfId="5" applyNumberFormat="1" applyFont="1" applyFill="1" applyBorder="1" applyAlignment="1">
      <alignment horizontal="center" vertical="center" wrapText="1"/>
    </xf>
    <xf numFmtId="199" fontId="257" fillId="0" borderId="0" xfId="0" applyNumberFormat="1" applyFont="1" applyAlignment="1">
      <alignment vertical="center"/>
    </xf>
    <xf numFmtId="178" fontId="258" fillId="0" borderId="0" xfId="0" applyNumberFormat="1" applyFont="1" applyAlignment="1">
      <alignment horizontal="center" vertical="center"/>
    </xf>
    <xf numFmtId="0" fontId="258" fillId="0" borderId="0" xfId="0" applyFont="1" applyAlignment="1">
      <alignment horizontal="centerContinuous" vertical="center"/>
    </xf>
    <xf numFmtId="49" fontId="258" fillId="0" borderId="56" xfId="0" applyNumberFormat="1" applyFont="1" applyBorder="1" applyAlignment="1">
      <alignment vertical="center" wrapText="1"/>
    </xf>
    <xf numFmtId="0" fontId="258" fillId="0" borderId="2" xfId="0" applyFont="1" applyBorder="1" applyAlignment="1">
      <alignment horizontal="center" vertical="center" wrapText="1"/>
    </xf>
    <xf numFmtId="0" fontId="258" fillId="0" borderId="30" xfId="77" applyFont="1" applyBorder="1" applyAlignment="1">
      <alignment horizontal="center" vertical="center" wrapText="1"/>
    </xf>
    <xf numFmtId="0" fontId="258" fillId="0" borderId="36" xfId="77" applyFont="1" applyBorder="1" applyAlignment="1">
      <alignment horizontal="center" vertical="center" wrapText="1"/>
    </xf>
    <xf numFmtId="49" fontId="257" fillId="0" borderId="59" xfId="0" applyNumberFormat="1" applyFont="1" applyBorder="1" applyAlignment="1">
      <alignment vertical="center" wrapText="1"/>
    </xf>
    <xf numFmtId="49" fontId="257" fillId="0" borderId="31" xfId="0" applyNumberFormat="1" applyFont="1" applyBorder="1" applyAlignment="1">
      <alignment vertical="center" wrapText="1"/>
    </xf>
    <xf numFmtId="178" fontId="258" fillId="0" borderId="56" xfId="0" applyNumberFormat="1" applyFont="1" applyBorder="1" applyAlignment="1">
      <alignment vertical="center" wrapText="1"/>
    </xf>
    <xf numFmtId="0" fontId="258" fillId="0" borderId="44" xfId="0" applyFont="1" applyBorder="1" applyAlignment="1">
      <alignment horizontal="center" vertical="center" wrapText="1"/>
    </xf>
    <xf numFmtId="180" fontId="258" fillId="0" borderId="55" xfId="0" applyNumberFormat="1" applyFont="1" applyBorder="1" applyAlignment="1">
      <alignment horizontal="center" vertical="center" wrapText="1"/>
    </xf>
    <xf numFmtId="178" fontId="258" fillId="0" borderId="0" xfId="0" applyNumberFormat="1" applyFont="1" applyAlignment="1">
      <alignment vertical="center" wrapText="1"/>
    </xf>
    <xf numFmtId="0" fontId="258" fillId="0" borderId="0" xfId="0" applyFont="1" applyAlignment="1">
      <alignment horizontal="center" vertical="center" wrapText="1"/>
    </xf>
    <xf numFmtId="0" fontId="258" fillId="0" borderId="58" xfId="77" applyFont="1" applyBorder="1" applyAlignment="1">
      <alignment horizontal="center" vertical="center" wrapText="1"/>
    </xf>
    <xf numFmtId="178" fontId="258" fillId="0" borderId="55" xfId="0" applyNumberFormat="1" applyFont="1" applyBorder="1" applyAlignment="1">
      <alignment vertical="center" wrapText="1"/>
    </xf>
    <xf numFmtId="0" fontId="257" fillId="0" borderId="1" xfId="0" applyFont="1" applyBorder="1" applyAlignment="1">
      <alignment horizontal="center" vertical="center" wrapText="1"/>
    </xf>
    <xf numFmtId="1" fontId="257" fillId="0" borderId="1" xfId="5" applyNumberFormat="1" applyFont="1" applyFill="1" applyBorder="1" applyAlignment="1">
      <alignment horizontal="center" vertical="center" wrapText="1"/>
    </xf>
    <xf numFmtId="9" fontId="257" fillId="0" borderId="1" xfId="2" applyFont="1" applyFill="1" applyBorder="1" applyAlignment="1">
      <alignment horizontal="center" vertical="center" wrapText="1"/>
    </xf>
    <xf numFmtId="168" fontId="258" fillId="0" borderId="1" xfId="0" applyNumberFormat="1" applyFont="1" applyBorder="1" applyAlignment="1">
      <alignment horizontal="center" vertical="center"/>
    </xf>
    <xf numFmtId="1" fontId="258" fillId="0" borderId="1" xfId="8848" applyNumberFormat="1" applyFont="1" applyFill="1" applyBorder="1" applyAlignment="1">
      <alignment horizontal="center" vertical="center" wrapText="1"/>
    </xf>
    <xf numFmtId="9" fontId="258" fillId="0" borderId="1" xfId="0" applyNumberFormat="1" applyFont="1" applyBorder="1" applyAlignment="1">
      <alignment horizontal="center" vertical="center" wrapText="1"/>
    </xf>
    <xf numFmtId="168" fontId="63" fillId="0" borderId="1" xfId="35087" applyNumberFormat="1" applyFont="1" applyFill="1" applyBorder="1" applyAlignment="1">
      <alignment vertical="center"/>
    </xf>
    <xf numFmtId="180" fontId="257" fillId="0" borderId="1" xfId="35087" applyNumberFormat="1" applyFont="1" applyFill="1" applyBorder="1" applyAlignment="1">
      <alignment horizontal="center" vertical="center"/>
    </xf>
    <xf numFmtId="176" fontId="258" fillId="0" borderId="1" xfId="35088" applyNumberFormat="1" applyFont="1" applyBorder="1" applyAlignment="1">
      <alignment horizontal="left" vertical="center"/>
    </xf>
    <xf numFmtId="180" fontId="258" fillId="0" borderId="1" xfId="35087" applyNumberFormat="1" applyFont="1" applyFill="1" applyBorder="1" applyAlignment="1">
      <alignment horizontal="center" vertical="center"/>
    </xf>
    <xf numFmtId="0" fontId="316" fillId="0" borderId="0" xfId="35088" applyFont="1" applyAlignment="1">
      <alignment vertical="center"/>
    </xf>
    <xf numFmtId="180" fontId="63" fillId="0" borderId="1" xfId="35087" applyNumberFormat="1" applyFont="1" applyFill="1" applyBorder="1" applyAlignment="1">
      <alignment horizontal="center" vertical="center"/>
    </xf>
    <xf numFmtId="168" fontId="254" fillId="0" borderId="1" xfId="35088" applyNumberFormat="1" applyFont="1" applyBorder="1" applyAlignment="1">
      <alignment horizontal="center" vertical="center"/>
    </xf>
    <xf numFmtId="168" fontId="63" fillId="0" borderId="0" xfId="35087" applyNumberFormat="1" applyFont="1" applyFill="1" applyAlignment="1">
      <alignment vertical="center"/>
    </xf>
    <xf numFmtId="0" fontId="63" fillId="0" borderId="0" xfId="35087" applyFont="1" applyFill="1" applyAlignment="1">
      <alignment vertical="center"/>
    </xf>
    <xf numFmtId="180" fontId="63" fillId="0" borderId="0" xfId="35087" applyNumberFormat="1" applyFont="1" applyFill="1" applyBorder="1" applyAlignment="1">
      <alignment vertical="center"/>
    </xf>
    <xf numFmtId="168" fontId="257" fillId="0" borderId="0" xfId="0" applyNumberFormat="1" applyFont="1" applyAlignment="1">
      <alignment vertical="center"/>
    </xf>
    <xf numFmtId="168" fontId="257" fillId="0" borderId="0" xfId="0" applyNumberFormat="1" applyFont="1" applyAlignment="1">
      <alignment horizontal="center" vertical="center"/>
    </xf>
    <xf numFmtId="0" fontId="316" fillId="0" borderId="0" xfId="43961" applyFont="1" applyAlignment="1">
      <alignment vertical="center"/>
    </xf>
    <xf numFmtId="169" fontId="257" fillId="0" borderId="0" xfId="0" applyNumberFormat="1" applyFont="1" applyAlignment="1">
      <alignment vertical="center"/>
    </xf>
    <xf numFmtId="199" fontId="318" fillId="0" borderId="0" xfId="0" applyNumberFormat="1" applyFont="1" applyAlignment="1">
      <alignment horizontal="center" vertical="center"/>
    </xf>
    <xf numFmtId="199" fontId="318" fillId="0" borderId="0" xfId="0" applyNumberFormat="1" applyFont="1" applyAlignment="1">
      <alignment vertical="center"/>
    </xf>
    <xf numFmtId="169" fontId="258" fillId="0" borderId="1" xfId="1" applyFont="1" applyFill="1" applyBorder="1" applyAlignment="1">
      <alignment horizontal="center" vertical="center"/>
    </xf>
    <xf numFmtId="0" fontId="63" fillId="0" borderId="1" xfId="26" applyFont="1" applyBorder="1" applyAlignment="1">
      <alignment horizontal="center" vertical="center" wrapText="1"/>
    </xf>
    <xf numFmtId="0" fontId="254" fillId="0" borderId="1" xfId="0" applyFont="1" applyBorder="1" applyAlignment="1">
      <alignment horizontal="center" vertical="center" wrapText="1"/>
    </xf>
    <xf numFmtId="1" fontId="254" fillId="0" borderId="1" xfId="0" applyNumberFormat="1" applyFont="1" applyBorder="1" applyAlignment="1">
      <alignment horizontal="center" vertical="center" wrapText="1"/>
    </xf>
    <xf numFmtId="199" fontId="254" fillId="0" borderId="1" xfId="0" applyNumberFormat="1" applyFont="1" applyBorder="1" applyAlignment="1">
      <alignment horizontal="center" vertical="center" wrapText="1"/>
    </xf>
    <xf numFmtId="0" fontId="257" fillId="0" borderId="55" xfId="0" applyFont="1" applyBorder="1" applyAlignment="1">
      <alignment vertical="center"/>
    </xf>
    <xf numFmtId="0" fontId="257" fillId="0" borderId="36" xfId="0" applyFont="1" applyBorder="1" applyAlignment="1">
      <alignment horizontal="center" vertical="center"/>
    </xf>
    <xf numFmtId="2" fontId="257" fillId="0" borderId="0" xfId="0" applyNumberFormat="1" applyFont="1" applyAlignment="1">
      <alignment horizontal="center" vertical="center"/>
    </xf>
    <xf numFmtId="2" fontId="257" fillId="0" borderId="36" xfId="0" applyNumberFormat="1" applyFont="1" applyBorder="1" applyAlignment="1">
      <alignment horizontal="center" vertical="center"/>
    </xf>
    <xf numFmtId="0" fontId="258" fillId="0" borderId="58" xfId="0" applyFont="1" applyBorder="1" applyAlignment="1">
      <alignment horizontal="center" vertical="center"/>
    </xf>
    <xf numFmtId="178" fontId="258" fillId="0" borderId="36" xfId="0" applyNumberFormat="1" applyFont="1" applyBorder="1" applyAlignment="1">
      <alignment horizontal="center" vertical="center"/>
    </xf>
    <xf numFmtId="3" fontId="258" fillId="0" borderId="0" xfId="0" applyNumberFormat="1" applyFont="1" applyAlignment="1">
      <alignment horizontal="center" vertical="center"/>
    </xf>
    <xf numFmtId="0" fontId="256" fillId="0" borderId="15" xfId="0" applyFont="1" applyBorder="1" applyAlignment="1">
      <alignment horizontal="center" vertical="center" wrapText="1"/>
    </xf>
    <xf numFmtId="199" fontId="256" fillId="0" borderId="0" xfId="0" applyNumberFormat="1" applyFont="1" applyAlignment="1">
      <alignment horizontal="center" vertical="center"/>
    </xf>
    <xf numFmtId="216" fontId="257" fillId="0" borderId="0" xfId="2" applyNumberFormat="1" applyFont="1" applyFill="1" applyAlignment="1">
      <alignment vertical="center"/>
    </xf>
    <xf numFmtId="180" fontId="256" fillId="0" borderId="0" xfId="0" applyNumberFormat="1" applyFont="1" applyAlignment="1">
      <alignment horizontal="center" vertical="center"/>
    </xf>
    <xf numFmtId="180" fontId="264" fillId="0" borderId="1" xfId="0" applyNumberFormat="1" applyFont="1" applyBorder="1" applyAlignment="1">
      <alignment horizontal="center" vertical="center" wrapText="1"/>
    </xf>
    <xf numFmtId="168" fontId="54" fillId="0" borderId="1" xfId="35087" applyNumberFormat="1" applyFont="1" applyFill="1" applyBorder="1" applyAlignment="1">
      <alignment vertical="center"/>
    </xf>
    <xf numFmtId="168" fontId="54" fillId="0" borderId="1" xfId="35088" applyNumberFormat="1" applyFont="1" applyBorder="1" applyAlignment="1">
      <alignment vertical="center"/>
    </xf>
    <xf numFmtId="180" fontId="258" fillId="2" borderId="1" xfId="35087" applyNumberFormat="1" applyFont="1" applyFill="1" applyBorder="1" applyAlignment="1">
      <alignment horizontal="center" vertical="center"/>
    </xf>
    <xf numFmtId="176" fontId="335" fillId="0" borderId="0" xfId="35088" applyNumberFormat="1" applyFont="1" applyAlignment="1">
      <alignment vertical="center"/>
    </xf>
    <xf numFmtId="180" fontId="257" fillId="0" borderId="56" xfId="35087" applyNumberFormat="1" applyFont="1" applyFill="1" applyBorder="1" applyAlignment="1">
      <alignment horizontal="center" vertical="center"/>
    </xf>
    <xf numFmtId="180" fontId="54" fillId="0" borderId="56" xfId="35087" applyNumberFormat="1" applyFont="1" applyFill="1" applyBorder="1" applyAlignment="1">
      <alignment horizontal="center" vertical="center"/>
    </xf>
    <xf numFmtId="0" fontId="336" fillId="0" borderId="0" xfId="0" applyFont="1" applyAlignment="1">
      <alignment vertical="center"/>
    </xf>
    <xf numFmtId="199" fontId="258" fillId="0" borderId="0" xfId="5" applyNumberFormat="1" applyFont="1" applyFill="1" applyBorder="1" applyAlignment="1">
      <alignment horizontal="center" vertical="center" wrapText="1"/>
    </xf>
    <xf numFmtId="166" fontId="258" fillId="0" borderId="17" xfId="4" applyNumberFormat="1" applyFont="1" applyBorder="1" applyAlignment="1">
      <alignment horizontal="center" vertical="center" wrapText="1"/>
    </xf>
    <xf numFmtId="166" fontId="257" fillId="0" borderId="17" xfId="4" applyNumberFormat="1" applyFont="1" applyBorder="1" applyAlignment="1">
      <alignment horizontal="center" vertical="center" wrapText="1"/>
    </xf>
    <xf numFmtId="204" fontId="258" fillId="0" borderId="0" xfId="5" applyNumberFormat="1" applyFont="1" applyFill="1" applyBorder="1" applyAlignment="1">
      <alignment horizontal="center" vertical="center" wrapText="1"/>
    </xf>
    <xf numFmtId="0" fontId="264" fillId="0" borderId="62" xfId="0" applyFont="1" applyBorder="1" applyAlignment="1">
      <alignment horizontal="center" vertical="center"/>
    </xf>
    <xf numFmtId="218" fontId="257" fillId="0" borderId="0" xfId="0" applyNumberFormat="1" applyFont="1" applyAlignment="1">
      <alignment vertical="center"/>
    </xf>
    <xf numFmtId="180" fontId="264" fillId="2" borderId="1" xfId="0" applyNumberFormat="1" applyFont="1" applyFill="1" applyBorder="1" applyAlignment="1">
      <alignment horizontal="center" vertical="center" wrapText="1"/>
    </xf>
    <xf numFmtId="180" fontId="264" fillId="2" borderId="15" xfId="0" applyNumberFormat="1" applyFont="1" applyFill="1" applyBorder="1" applyAlignment="1">
      <alignment horizontal="center" vertical="center" wrapText="1"/>
    </xf>
    <xf numFmtId="169" fontId="258" fillId="0" borderId="1" xfId="1" applyFont="1" applyFill="1" applyBorder="1" applyAlignment="1">
      <alignment horizontal="center" vertical="center" wrapText="1"/>
    </xf>
    <xf numFmtId="173" fontId="257" fillId="0" borderId="1" xfId="43893" applyNumberFormat="1" applyFont="1" applyBorder="1" applyAlignment="1">
      <alignment horizontal="center" vertical="center"/>
    </xf>
    <xf numFmtId="173" fontId="257" fillId="0" borderId="1" xfId="0" applyNumberFormat="1" applyFont="1" applyBorder="1" applyAlignment="1">
      <alignment horizontal="center" vertical="center"/>
    </xf>
    <xf numFmtId="218" fontId="256" fillId="0" borderId="0" xfId="0" applyNumberFormat="1" applyFont="1" applyAlignment="1">
      <alignment horizontal="left" vertical="center"/>
    </xf>
    <xf numFmtId="165" fontId="46" fillId="0" borderId="39" xfId="26" applyNumberFormat="1" applyFont="1" applyBorder="1" applyAlignment="1">
      <alignment horizontal="center" vertical="center" wrapText="1"/>
    </xf>
    <xf numFmtId="199" fontId="257" fillId="0" borderId="0" xfId="0" applyNumberFormat="1" applyFont="1" applyAlignment="1">
      <alignment horizontal="center" vertical="center"/>
    </xf>
    <xf numFmtId="0" fontId="250" fillId="0" borderId="63" xfId="0" applyFont="1" applyBorder="1" applyAlignment="1">
      <alignment vertical="center"/>
    </xf>
    <xf numFmtId="0" fontId="258" fillId="2" borderId="30" xfId="77" applyFont="1" applyFill="1" applyBorder="1" applyAlignment="1">
      <alignment horizontal="center" vertical="center" wrapText="1"/>
    </xf>
    <xf numFmtId="180" fontId="257" fillId="2" borderId="0" xfId="0" applyNumberFormat="1" applyFont="1" applyFill="1" applyAlignment="1">
      <alignment horizontal="center" vertical="center"/>
    </xf>
    <xf numFmtId="180" fontId="258" fillId="2" borderId="43" xfId="0" applyNumberFormat="1" applyFont="1" applyFill="1" applyBorder="1" applyAlignment="1">
      <alignment horizontal="center" vertical="center" wrapText="1"/>
    </xf>
    <xf numFmtId="0" fontId="257" fillId="0" borderId="64" xfId="0" applyFont="1" applyBorder="1" applyAlignment="1">
      <alignment horizontal="center" vertical="center" wrapText="1"/>
    </xf>
    <xf numFmtId="1" fontId="257" fillId="0" borderId="64" xfId="5" applyNumberFormat="1" applyFont="1" applyFill="1" applyBorder="1" applyAlignment="1">
      <alignment horizontal="center" vertical="center" wrapText="1"/>
    </xf>
    <xf numFmtId="173" fontId="257" fillId="0" borderId="64" xfId="43893" applyNumberFormat="1" applyFont="1" applyBorder="1" applyAlignment="1">
      <alignment horizontal="center" vertical="center"/>
    </xf>
    <xf numFmtId="168" fontId="63" fillId="0" borderId="64" xfId="35087" applyNumberFormat="1" applyFont="1" applyFill="1" applyBorder="1" applyAlignment="1">
      <alignment vertical="center"/>
    </xf>
    <xf numFmtId="180" fontId="257" fillId="0" borderId="64" xfId="35087" applyNumberFormat="1" applyFont="1" applyFill="1" applyBorder="1" applyAlignment="1">
      <alignment horizontal="center" vertical="center"/>
    </xf>
    <xf numFmtId="168" fontId="54" fillId="0" borderId="64" xfId="35087" applyNumberFormat="1" applyFont="1" applyFill="1" applyBorder="1" applyAlignment="1">
      <alignment vertical="center"/>
    </xf>
    <xf numFmtId="199" fontId="264" fillId="0" borderId="0" xfId="0" applyNumberFormat="1" applyFont="1" applyAlignment="1">
      <alignment horizontal="left" vertical="center"/>
    </xf>
    <xf numFmtId="204" fontId="250" fillId="0" borderId="1" xfId="0" applyNumberFormat="1" applyFont="1" applyBorder="1" applyAlignment="1">
      <alignment vertical="center"/>
    </xf>
    <xf numFmtId="222" fontId="256" fillId="0" borderId="0" xfId="1" applyNumberFormat="1" applyFont="1" applyFill="1" applyBorder="1" applyAlignment="1">
      <alignment vertical="center"/>
    </xf>
    <xf numFmtId="218" fontId="256" fillId="0" borderId="0" xfId="0" applyNumberFormat="1" applyFont="1" applyAlignment="1">
      <alignment horizontal="center" vertical="center"/>
    </xf>
    <xf numFmtId="4" fontId="314" fillId="0" borderId="0" xfId="0" applyNumberFormat="1" applyFont="1" applyAlignment="1">
      <alignment horizontal="left" vertical="center" wrapText="1"/>
    </xf>
    <xf numFmtId="178" fontId="257" fillId="0" borderId="65" xfId="0" applyNumberFormat="1" applyFont="1" applyBorder="1" applyAlignment="1">
      <alignment horizontal="center" vertical="center"/>
    </xf>
    <xf numFmtId="180" fontId="257" fillId="0" borderId="65" xfId="35087" applyNumberFormat="1" applyFont="1" applyFill="1" applyBorder="1" applyAlignment="1">
      <alignment horizontal="center" vertical="center"/>
    </xf>
    <xf numFmtId="204" fontId="257" fillId="0" borderId="65" xfId="0" applyNumberFormat="1" applyFont="1" applyBorder="1" applyAlignment="1">
      <alignment horizontal="center" vertical="center"/>
    </xf>
    <xf numFmtId="178" fontId="258" fillId="0" borderId="65" xfId="0" applyNumberFormat="1" applyFont="1" applyBorder="1" applyAlignment="1">
      <alignment horizontal="center" vertical="center"/>
    </xf>
    <xf numFmtId="180" fontId="258" fillId="0" borderId="65" xfId="0" applyNumberFormat="1" applyFont="1" applyBorder="1" applyAlignment="1">
      <alignment horizontal="center" vertical="center"/>
    </xf>
    <xf numFmtId="204" fontId="258" fillId="0" borderId="65" xfId="5" applyNumberFormat="1" applyFont="1" applyFill="1" applyBorder="1" applyAlignment="1">
      <alignment horizontal="center" vertical="center" wrapText="1"/>
    </xf>
    <xf numFmtId="178" fontId="257" fillId="0" borderId="15" xfId="0" applyNumberFormat="1" applyFont="1" applyBorder="1" applyAlignment="1">
      <alignment horizontal="center" vertical="center"/>
    </xf>
    <xf numFmtId="180" fontId="257" fillId="0" borderId="15" xfId="35087" applyNumberFormat="1" applyFont="1" applyFill="1" applyBorder="1" applyAlignment="1">
      <alignment horizontal="center" vertical="center"/>
    </xf>
    <xf numFmtId="204" fontId="257" fillId="0" borderId="15" xfId="0" applyNumberFormat="1" applyFont="1" applyBorder="1" applyAlignment="1">
      <alignment horizontal="center" vertical="center"/>
    </xf>
    <xf numFmtId="0" fontId="258" fillId="0" borderId="10" xfId="0" applyFont="1" applyBorder="1" applyAlignment="1">
      <alignment horizontal="center" vertical="center"/>
    </xf>
    <xf numFmtId="0" fontId="258" fillId="0" borderId="13" xfId="0" applyFont="1" applyBorder="1" applyAlignment="1">
      <alignment horizontal="center" vertical="center"/>
    </xf>
    <xf numFmtId="0" fontId="258" fillId="0" borderId="11" xfId="77" applyFont="1" applyBorder="1" applyAlignment="1">
      <alignment horizontal="center" vertical="center"/>
    </xf>
    <xf numFmtId="0" fontId="258" fillId="0" borderId="13" xfId="77" applyFont="1" applyBorder="1" applyAlignment="1">
      <alignment horizontal="center" vertical="center"/>
    </xf>
    <xf numFmtId="0" fontId="264" fillId="0" borderId="66" xfId="0" applyFont="1" applyBorder="1" applyAlignment="1">
      <alignment horizontal="center" vertical="center"/>
    </xf>
    <xf numFmtId="0" fontId="264" fillId="0" borderId="16" xfId="0" applyFont="1" applyBorder="1" applyAlignment="1">
      <alignment horizontal="center" vertical="center" wrapText="1"/>
    </xf>
    <xf numFmtId="0" fontId="264" fillId="0" borderId="67" xfId="0" applyFont="1" applyBorder="1" applyAlignment="1">
      <alignment horizontal="center" vertical="center" wrapText="1"/>
    </xf>
    <xf numFmtId="171" fontId="256" fillId="0" borderId="0" xfId="1" applyNumberFormat="1" applyFont="1" applyFill="1" applyAlignment="1">
      <alignment vertical="center"/>
    </xf>
    <xf numFmtId="0" fontId="264" fillId="0" borderId="68" xfId="0" applyFont="1" applyBorder="1" applyAlignment="1">
      <alignment horizontal="center" vertical="center" wrapText="1"/>
    </xf>
    <xf numFmtId="0" fontId="0" fillId="0" borderId="68" xfId="0" applyBorder="1" applyAlignment="1">
      <alignment horizontal="center"/>
    </xf>
    <xf numFmtId="0" fontId="258" fillId="2" borderId="0" xfId="0" applyFont="1" applyFill="1" applyAlignment="1">
      <alignment vertical="center"/>
    </xf>
    <xf numFmtId="0" fontId="0" fillId="0" borderId="69" xfId="0" applyBorder="1" applyAlignment="1">
      <alignment horizontal="center"/>
    </xf>
    <xf numFmtId="180" fontId="256" fillId="0" borderId="28" xfId="0" applyNumberFormat="1" applyFont="1" applyBorder="1" applyAlignment="1">
      <alignment horizontal="center" vertical="center" wrapText="1"/>
    </xf>
    <xf numFmtId="0" fontId="258" fillId="0" borderId="63" xfId="0" applyFont="1" applyBorder="1" applyAlignment="1">
      <alignment horizontal="center" vertical="center" wrapText="1"/>
    </xf>
    <xf numFmtId="0" fontId="264" fillId="0" borderId="63" xfId="0" applyFont="1" applyBorder="1" applyAlignment="1">
      <alignment horizontal="center" vertical="center" wrapText="1"/>
    </xf>
    <xf numFmtId="0" fontId="257" fillId="0" borderId="63" xfId="0" applyFont="1" applyBorder="1" applyAlignment="1">
      <alignment horizontal="center" vertical="center" wrapText="1"/>
    </xf>
    <xf numFmtId="199" fontId="257" fillId="0" borderId="63" xfId="0" applyNumberFormat="1" applyFont="1" applyBorder="1" applyAlignment="1">
      <alignment horizontal="center" vertical="center"/>
    </xf>
    <xf numFmtId="9" fontId="256" fillId="0" borderId="63" xfId="2" applyFont="1" applyFill="1" applyBorder="1" applyAlignment="1">
      <alignment horizontal="center" vertical="center" wrapText="1"/>
    </xf>
    <xf numFmtId="4" fontId="250" fillId="0" borderId="63" xfId="0" applyNumberFormat="1" applyFont="1" applyBorder="1" applyAlignment="1">
      <alignment vertical="center" wrapText="1"/>
    </xf>
    <xf numFmtId="169" fontId="250" fillId="0" borderId="63" xfId="44115" applyBorder="1" applyAlignment="1">
      <alignment vertical="center"/>
    </xf>
    <xf numFmtId="9" fontId="250" fillId="0" borderId="63" xfId="8800" applyBorder="1" applyAlignment="1">
      <alignment horizontal="center" vertical="center"/>
    </xf>
    <xf numFmtId="0" fontId="296" fillId="0" borderId="63" xfId="0" applyFont="1" applyBorder="1" applyAlignment="1">
      <alignment horizontal="center" vertical="center"/>
    </xf>
    <xf numFmtId="0" fontId="290" fillId="0" borderId="63" xfId="0" applyFont="1" applyBorder="1" applyAlignment="1">
      <alignment horizontal="center" vertical="center"/>
    </xf>
    <xf numFmtId="0" fontId="250" fillId="0" borderId="63" xfId="0" applyFont="1" applyBorder="1" applyAlignment="1">
      <alignment vertical="center" wrapText="1"/>
    </xf>
    <xf numFmtId="169" fontId="296" fillId="0" borderId="63" xfId="44115" applyFont="1" applyBorder="1" applyAlignment="1">
      <alignment vertical="center"/>
    </xf>
    <xf numFmtId="169" fontId="290" fillId="0" borderId="63" xfId="44115" applyFont="1" applyBorder="1" applyAlignment="1">
      <alignment vertical="center"/>
    </xf>
    <xf numFmtId="174" fontId="296" fillId="0" borderId="63" xfId="8800" applyNumberFormat="1" applyFont="1" applyBorder="1" applyAlignment="1">
      <alignment horizontal="center" vertical="center"/>
    </xf>
    <xf numFmtId="204" fontId="257" fillId="0" borderId="1" xfId="43893" applyNumberFormat="1" applyFont="1" applyBorder="1" applyAlignment="1">
      <alignment horizontal="center" vertical="center"/>
    </xf>
    <xf numFmtId="204" fontId="258" fillId="0" borderId="1" xfId="43893" applyNumberFormat="1" applyFont="1" applyBorder="1" applyAlignment="1">
      <alignment horizontal="center" vertical="center"/>
    </xf>
    <xf numFmtId="168" fontId="3" fillId="0" borderId="1" xfId="35087" applyNumberFormat="1" applyFont="1" applyFill="1" applyBorder="1" applyAlignment="1">
      <alignment vertical="center"/>
    </xf>
    <xf numFmtId="0" fontId="293" fillId="0" borderId="73" xfId="35058" applyFill="1" applyBorder="1"/>
    <xf numFmtId="0" fontId="255" fillId="0" borderId="15" xfId="0" applyFont="1" applyBorder="1" applyAlignment="1">
      <alignment horizontal="center" vertical="center"/>
    </xf>
    <xf numFmtId="0" fontId="256" fillId="0" borderId="74" xfId="0" applyFont="1" applyBorder="1" applyAlignment="1">
      <alignment horizontal="center" vertical="center" wrapText="1"/>
    </xf>
    <xf numFmtId="0" fontId="255" fillId="0" borderId="74" xfId="0" applyFont="1" applyBorder="1" applyAlignment="1">
      <alignment horizontal="center" vertical="center"/>
    </xf>
    <xf numFmtId="0" fontId="256" fillId="0" borderId="73" xfId="0" applyFont="1" applyBorder="1" applyAlignment="1">
      <alignment horizontal="center" vertical="center" wrapText="1"/>
    </xf>
    <xf numFmtId="0" fontId="255" fillId="0" borderId="73" xfId="0" applyFont="1" applyBorder="1" applyAlignment="1">
      <alignment horizontal="center" vertical="center"/>
    </xf>
    <xf numFmtId="0" fontId="264" fillId="0" borderId="74" xfId="0" applyFont="1" applyBorder="1" applyAlignment="1">
      <alignment horizontal="center" vertical="center" wrapText="1"/>
    </xf>
    <xf numFmtId="0" fontId="296" fillId="0" borderId="74" xfId="0" applyFont="1" applyBorder="1" applyAlignment="1">
      <alignment horizontal="center"/>
    </xf>
    <xf numFmtId="3" fontId="259" fillId="0" borderId="15" xfId="0" applyNumberFormat="1" applyFont="1" applyBorder="1" applyAlignment="1">
      <alignment horizontal="center" vertical="center"/>
    </xf>
    <xf numFmtId="204" fontId="257" fillId="0" borderId="1" xfId="0" applyNumberFormat="1" applyFont="1" applyBorder="1" applyAlignment="1">
      <alignment horizontal="center" vertical="center"/>
    </xf>
    <xf numFmtId="204" fontId="257" fillId="0" borderId="64" xfId="0" applyNumberFormat="1" applyFont="1" applyBorder="1" applyAlignment="1">
      <alignment horizontal="center" vertical="center"/>
    </xf>
    <xf numFmtId="49" fontId="264" fillId="2" borderId="0" xfId="0" applyNumberFormat="1" applyFont="1" applyFill="1" applyAlignment="1">
      <alignment vertical="center"/>
    </xf>
    <xf numFmtId="169" fontId="256" fillId="2" borderId="0" xfId="1" applyFont="1" applyFill="1" applyAlignment="1">
      <alignment vertical="center"/>
    </xf>
    <xf numFmtId="0" fontId="256" fillId="2" borderId="0" xfId="0" applyFont="1" applyFill="1" applyAlignment="1">
      <alignment horizontal="left" vertical="center"/>
    </xf>
    <xf numFmtId="2" fontId="256" fillId="2" borderId="0" xfId="0" applyNumberFormat="1" applyFont="1" applyFill="1" applyAlignment="1">
      <alignment vertical="center"/>
    </xf>
    <xf numFmtId="0" fontId="256" fillId="2" borderId="0" xfId="0" applyFont="1" applyFill="1" applyAlignment="1">
      <alignment horizontal="center" vertical="center"/>
    </xf>
    <xf numFmtId="168" fontId="250" fillId="2" borderId="0" xfId="0" applyNumberFormat="1" applyFont="1" applyFill="1" applyAlignment="1">
      <alignment vertical="center"/>
    </xf>
    <xf numFmtId="0" fontId="250" fillId="2" borderId="0" xfId="0" applyFont="1" applyFill="1" applyAlignment="1">
      <alignment horizontal="right" vertical="center"/>
    </xf>
    <xf numFmtId="180" fontId="250" fillId="2" borderId="0" xfId="0" applyNumberFormat="1" applyFont="1" applyFill="1" applyAlignment="1">
      <alignment vertical="center"/>
    </xf>
    <xf numFmtId="180" fontId="256" fillId="2" borderId="0" xfId="0" applyNumberFormat="1" applyFont="1" applyFill="1" applyAlignment="1">
      <alignment vertical="center"/>
    </xf>
    <xf numFmtId="49" fontId="290" fillId="0" borderId="1" xfId="0" applyNumberFormat="1" applyFont="1" applyBorder="1" applyAlignment="1">
      <alignment horizontal="center" vertical="center" wrapText="1"/>
    </xf>
    <xf numFmtId="49" fontId="258" fillId="2" borderId="70" xfId="0" applyNumberFormat="1" applyFont="1" applyFill="1" applyBorder="1" applyAlignment="1">
      <alignment horizontal="center" vertical="center" wrapText="1"/>
    </xf>
    <xf numFmtId="49" fontId="258" fillId="2" borderId="72" xfId="0" applyNumberFormat="1" applyFont="1" applyFill="1" applyBorder="1" applyAlignment="1">
      <alignment horizontal="center" vertical="center" wrapText="1"/>
    </xf>
    <xf numFmtId="49" fontId="258" fillId="0" borderId="55" xfId="0" applyNumberFormat="1" applyFont="1" applyBorder="1" applyAlignment="1">
      <alignment horizontal="center" vertical="center" wrapText="1"/>
    </xf>
    <xf numFmtId="49" fontId="258" fillId="0" borderId="58" xfId="0" applyNumberFormat="1" applyFont="1" applyBorder="1" applyAlignment="1">
      <alignment horizontal="center" vertical="center" wrapText="1"/>
    </xf>
    <xf numFmtId="0" fontId="311" fillId="31" borderId="70" xfId="0" applyFont="1" applyFill="1" applyBorder="1" applyAlignment="1">
      <alignment horizontal="center" vertical="center" wrapText="1"/>
    </xf>
    <xf numFmtId="0" fontId="311" fillId="31" borderId="72" xfId="0" applyFont="1" applyFill="1" applyBorder="1" applyAlignment="1">
      <alignment horizontal="center" vertical="center" wrapText="1"/>
    </xf>
    <xf numFmtId="49" fontId="258" fillId="0" borderId="0" xfId="0" applyNumberFormat="1" applyFont="1" applyAlignment="1">
      <alignment horizontal="center" vertical="center" wrapText="1"/>
    </xf>
    <xf numFmtId="0" fontId="258" fillId="2" borderId="0" xfId="0" applyFont="1" applyFill="1" applyAlignment="1">
      <alignment horizontal="left" vertical="center" wrapText="1"/>
    </xf>
    <xf numFmtId="0" fontId="330" fillId="2" borderId="0" xfId="0" applyFont="1" applyFill="1" applyAlignment="1">
      <alignment horizontal="left" vertical="center" wrapText="1"/>
    </xf>
    <xf numFmtId="0" fontId="258" fillId="2" borderId="0" xfId="0" applyFont="1" applyFill="1" applyAlignment="1">
      <alignment vertical="center" wrapText="1"/>
    </xf>
    <xf numFmtId="0" fontId="300" fillId="2" borderId="0" xfId="0" applyFont="1" applyFill="1" applyAlignment="1">
      <alignment vertical="center" wrapText="1"/>
    </xf>
    <xf numFmtId="0" fontId="258" fillId="0" borderId="1" xfId="4" applyFont="1" applyBorder="1" applyAlignment="1">
      <alignment horizontal="center" vertical="center" wrapText="1"/>
    </xf>
    <xf numFmtId="0" fontId="258" fillId="0" borderId="56" xfId="4" applyFont="1" applyBorder="1" applyAlignment="1">
      <alignment horizontal="center" vertical="center" wrapText="1"/>
    </xf>
    <xf numFmtId="1" fontId="257" fillId="0" borderId="36" xfId="4" applyNumberFormat="1" applyFont="1" applyBorder="1" applyAlignment="1">
      <alignment horizontal="left" vertical="center" wrapText="1"/>
    </xf>
    <xf numFmtId="1" fontId="257" fillId="0" borderId="57" xfId="4" applyNumberFormat="1" applyFont="1" applyBorder="1" applyAlignment="1">
      <alignment horizontal="left" vertical="center" wrapText="1"/>
    </xf>
    <xf numFmtId="1" fontId="257" fillId="0" borderId="58" xfId="4" applyNumberFormat="1" applyFont="1" applyBorder="1" applyAlignment="1">
      <alignment horizontal="left" vertical="center" wrapText="1"/>
    </xf>
    <xf numFmtId="0" fontId="290" fillId="0" borderId="0" xfId="0" applyFont="1" applyAlignment="1">
      <alignment horizontal="left" vertical="center" wrapText="1"/>
    </xf>
    <xf numFmtId="0" fontId="290" fillId="0" borderId="1" xfId="12" applyFont="1" applyBorder="1" applyAlignment="1">
      <alignment horizontal="center" vertical="center" wrapText="1"/>
    </xf>
    <xf numFmtId="0" fontId="290" fillId="0" borderId="1" xfId="0" applyFont="1" applyBorder="1" applyAlignment="1">
      <alignment horizontal="center" vertical="center" wrapText="1"/>
    </xf>
    <xf numFmtId="0" fontId="258" fillId="2" borderId="0" xfId="0" applyFont="1" applyFill="1" applyAlignment="1">
      <alignment horizontal="left" vertical="center"/>
    </xf>
    <xf numFmtId="0" fontId="258" fillId="0" borderId="0" xfId="0" applyFont="1" applyAlignment="1">
      <alignment horizontal="left" vertical="center"/>
    </xf>
    <xf numFmtId="0" fontId="264" fillId="0" borderId="55" xfId="0" applyFont="1" applyBorder="1" applyAlignment="1">
      <alignment horizontal="center" vertical="center"/>
    </xf>
    <xf numFmtId="0" fontId="264" fillId="0" borderId="58" xfId="0" applyFont="1" applyBorder="1" applyAlignment="1">
      <alignment horizontal="center" vertical="center"/>
    </xf>
    <xf numFmtId="17" fontId="258" fillId="0" borderId="55" xfId="0" applyNumberFormat="1" applyFont="1" applyBorder="1" applyAlignment="1">
      <alignment horizontal="center" vertical="center" wrapText="1"/>
    </xf>
    <xf numFmtId="17" fontId="258" fillId="0" borderId="58" xfId="0" applyNumberFormat="1" applyFont="1" applyBorder="1" applyAlignment="1">
      <alignment horizontal="center" vertical="center" wrapText="1"/>
    </xf>
    <xf numFmtId="169" fontId="264" fillId="0" borderId="70" xfId="1" applyFont="1" applyFill="1" applyBorder="1" applyAlignment="1">
      <alignment horizontal="center" vertical="center"/>
    </xf>
    <xf numFmtId="169" fontId="264" fillId="0" borderId="72" xfId="1" applyFont="1" applyFill="1" applyBorder="1" applyAlignment="1">
      <alignment horizontal="center" vertical="center"/>
    </xf>
    <xf numFmtId="17" fontId="264" fillId="0" borderId="31" xfId="0" applyNumberFormat="1" applyFont="1" applyBorder="1" applyAlignment="1">
      <alignment horizontal="center" vertical="center" wrapText="1"/>
    </xf>
    <xf numFmtId="17" fontId="264" fillId="0" borderId="2" xfId="0" applyNumberFormat="1" applyFont="1" applyBorder="1" applyAlignment="1">
      <alignment horizontal="center" vertical="center" wrapText="1"/>
    </xf>
    <xf numFmtId="0" fontId="257" fillId="0" borderId="0" xfId="0" applyFont="1" applyAlignment="1">
      <alignment horizontal="left" vertical="center" wrapText="1"/>
    </xf>
    <xf numFmtId="0" fontId="258" fillId="0" borderId="10" xfId="0" applyFont="1" applyBorder="1" applyAlignment="1">
      <alignment horizontal="center" vertical="center"/>
    </xf>
    <xf numFmtId="0" fontId="258" fillId="0" borderId="12" xfId="0" applyFont="1" applyBorder="1" applyAlignment="1">
      <alignment horizontal="center" vertical="center"/>
    </xf>
    <xf numFmtId="0" fontId="258" fillId="0" borderId="5" xfId="0" applyFont="1" applyBorder="1" applyAlignment="1">
      <alignment horizontal="center" vertical="center"/>
    </xf>
    <xf numFmtId="0" fontId="258" fillId="0" borderId="6" xfId="0" applyFont="1" applyBorder="1" applyAlignment="1">
      <alignment horizontal="center" vertical="center"/>
    </xf>
    <xf numFmtId="0" fontId="290" fillId="32" borderId="1" xfId="0" applyFont="1" applyFill="1" applyBorder="1" applyAlignment="1">
      <alignment horizontal="center" vertical="center"/>
    </xf>
    <xf numFmtId="0" fontId="264" fillId="0" borderId="0" xfId="0" applyFont="1" applyAlignment="1">
      <alignment horizontal="center" vertical="center"/>
    </xf>
    <xf numFmtId="0" fontId="291" fillId="2" borderId="0" xfId="26" applyFont="1" applyFill="1" applyAlignment="1">
      <alignment horizontal="center" vertical="center" wrapText="1"/>
    </xf>
    <xf numFmtId="0" fontId="265" fillId="0" borderId="0" xfId="26" applyFont="1" applyAlignment="1">
      <alignment horizontal="center" vertical="center" wrapText="1"/>
    </xf>
    <xf numFmtId="0" fontId="309" fillId="2" borderId="0" xfId="26" applyFont="1" applyFill="1" applyAlignment="1">
      <alignment horizontal="center" vertical="center" wrapText="1"/>
    </xf>
    <xf numFmtId="0" fontId="264" fillId="2" borderId="70" xfId="0" applyFont="1" applyFill="1" applyBorder="1" applyAlignment="1">
      <alignment horizontal="center" vertical="center"/>
    </xf>
    <xf numFmtId="0" fontId="264" fillId="2" borderId="72" xfId="0" applyFont="1" applyFill="1" applyBorder="1" applyAlignment="1">
      <alignment horizontal="center" vertical="center"/>
    </xf>
    <xf numFmtId="17" fontId="264" fillId="0" borderId="70" xfId="0" applyNumberFormat="1" applyFont="1" applyBorder="1" applyAlignment="1">
      <alignment horizontal="center" vertical="center" wrapText="1"/>
    </xf>
    <xf numFmtId="17" fontId="264" fillId="0" borderId="72" xfId="0" applyNumberFormat="1" applyFont="1" applyBorder="1" applyAlignment="1">
      <alignment horizontal="center" vertical="center" wrapText="1"/>
    </xf>
    <xf numFmtId="169" fontId="264" fillId="0" borderId="70" xfId="1" applyFont="1" applyFill="1" applyBorder="1" applyAlignment="1">
      <alignment horizontal="center" vertical="center" wrapText="1"/>
    </xf>
    <xf numFmtId="169" fontId="264" fillId="0" borderId="72" xfId="1" applyFont="1" applyFill="1" applyBorder="1" applyAlignment="1">
      <alignment horizontal="center" vertical="center" wrapText="1"/>
    </xf>
    <xf numFmtId="0" fontId="311" fillId="31" borderId="61" xfId="0" applyFont="1" applyFill="1" applyBorder="1" applyAlignment="1">
      <alignment horizontal="center" vertical="center" wrapText="1"/>
    </xf>
    <xf numFmtId="0" fontId="311" fillId="31" borderId="36" xfId="0" applyFont="1" applyFill="1" applyBorder="1" applyAlignment="1">
      <alignment horizontal="center" vertical="center" wrapText="1"/>
    </xf>
    <xf numFmtId="1" fontId="258" fillId="0" borderId="36" xfId="4" applyNumberFormat="1" applyFont="1" applyBorder="1" applyAlignment="1">
      <alignment horizontal="center" vertical="center" wrapText="1"/>
    </xf>
    <xf numFmtId="1" fontId="258" fillId="0" borderId="57" xfId="4" applyNumberFormat="1" applyFont="1" applyBorder="1" applyAlignment="1">
      <alignment horizontal="center" vertical="center" wrapText="1"/>
    </xf>
    <xf numFmtId="1" fontId="258" fillId="0" borderId="58" xfId="4" applyNumberFormat="1" applyFont="1" applyBorder="1" applyAlignment="1">
      <alignment horizontal="center" vertical="center" wrapText="1"/>
    </xf>
    <xf numFmtId="0" fontId="257" fillId="0" borderId="0" xfId="4" applyFont="1" applyAlignment="1">
      <alignment horizontal="left" vertical="center" wrapText="1"/>
    </xf>
    <xf numFmtId="0" fontId="257" fillId="0" borderId="0" xfId="4" applyFont="1" applyAlignment="1">
      <alignment horizontal="justify" vertical="center" wrapText="1"/>
    </xf>
    <xf numFmtId="0" fontId="54" fillId="0" borderId="69" xfId="35087" applyFont="1" applyFill="1" applyBorder="1" applyAlignment="1">
      <alignment horizontal="center" vertical="center" wrapText="1"/>
    </xf>
    <xf numFmtId="0" fontId="54" fillId="0" borderId="15" xfId="35087" applyFont="1" applyFill="1" applyBorder="1" applyAlignment="1">
      <alignment horizontal="center" vertical="center" wrapText="1"/>
    </xf>
    <xf numFmtId="0" fontId="258" fillId="0" borderId="55" xfId="0" applyFont="1" applyBorder="1" applyAlignment="1">
      <alignment horizontal="center" vertical="center" wrapText="1"/>
    </xf>
    <xf numFmtId="0" fontId="258" fillId="0" borderId="57" xfId="0" applyFont="1" applyBorder="1" applyAlignment="1">
      <alignment horizontal="center" vertical="center" wrapText="1"/>
    </xf>
    <xf numFmtId="0" fontId="258" fillId="0" borderId="71" xfId="0" applyFont="1" applyBorder="1" applyAlignment="1">
      <alignment horizontal="center" vertical="center" wrapText="1"/>
    </xf>
    <xf numFmtId="0" fontId="258" fillId="0" borderId="72" xfId="0" applyFont="1" applyBorder="1" applyAlignment="1">
      <alignment horizontal="center" vertical="center" wrapText="1"/>
    </xf>
    <xf numFmtId="0" fontId="256" fillId="0" borderId="0" xfId="35075" applyFont="1" applyFill="1" applyBorder="1" applyAlignment="1">
      <alignment horizontal="center" vertical="center" wrapText="1"/>
    </xf>
    <xf numFmtId="0" fontId="250" fillId="0" borderId="0" xfId="35075" applyFont="1" applyFill="1" applyBorder="1" applyAlignment="1">
      <alignment horizontal="center" vertical="center"/>
    </xf>
    <xf numFmtId="0" fontId="63" fillId="0" borderId="60" xfId="35087" applyFont="1" applyFill="1" applyBorder="1" applyAlignment="1">
      <alignment horizontal="center" vertical="center" wrapText="1"/>
    </xf>
    <xf numFmtId="0" fontId="63" fillId="0" borderId="15" xfId="35087" applyFont="1" applyFill="1" applyBorder="1" applyAlignment="1">
      <alignment horizontal="center" vertical="center" wrapText="1"/>
    </xf>
    <xf numFmtId="0" fontId="63" fillId="0" borderId="69" xfId="35087" applyFont="1" applyFill="1" applyBorder="1" applyAlignment="1">
      <alignment horizontal="center" vertical="center" wrapText="1"/>
    </xf>
    <xf numFmtId="0" fontId="258" fillId="0" borderId="70" xfId="0" applyFont="1" applyBorder="1" applyAlignment="1">
      <alignment horizontal="center" vertical="center" wrapText="1"/>
    </xf>
    <xf numFmtId="0" fontId="63" fillId="0" borderId="32" xfId="35087" applyFont="1" applyFill="1" applyBorder="1" applyAlignment="1">
      <alignment horizontal="center" vertical="center" wrapText="1"/>
    </xf>
    <xf numFmtId="49" fontId="258" fillId="0" borderId="57" xfId="0" applyNumberFormat="1" applyFont="1" applyBorder="1" applyAlignment="1">
      <alignment horizontal="center" vertical="center" wrapText="1"/>
    </xf>
    <xf numFmtId="49" fontId="258" fillId="0" borderId="70" xfId="0" applyNumberFormat="1" applyFont="1" applyBorder="1" applyAlignment="1">
      <alignment horizontal="center" vertical="center" wrapText="1"/>
    </xf>
    <xf numFmtId="49" fontId="258" fillId="0" borderId="71" xfId="0" applyNumberFormat="1" applyFont="1" applyBorder="1" applyAlignment="1">
      <alignment horizontal="center" vertical="center" wrapText="1"/>
    </xf>
    <xf numFmtId="49" fontId="258" fillId="0" borderId="72" xfId="0" applyNumberFormat="1" applyFont="1" applyBorder="1" applyAlignment="1">
      <alignment horizontal="center" vertical="center" wrapText="1"/>
    </xf>
    <xf numFmtId="0" fontId="258" fillId="0" borderId="52" xfId="0" applyFont="1" applyBorder="1" applyAlignment="1">
      <alignment horizontal="center" vertical="center" wrapText="1"/>
    </xf>
    <xf numFmtId="0" fontId="258" fillId="0" borderId="15" xfId="0" applyFont="1" applyBorder="1" applyAlignment="1">
      <alignment horizontal="center" vertical="center" wrapText="1"/>
    </xf>
    <xf numFmtId="0" fontId="258" fillId="0" borderId="58" xfId="0" applyFont="1" applyBorder="1" applyAlignment="1">
      <alignment horizontal="center" vertical="center" wrapText="1"/>
    </xf>
    <xf numFmtId="0" fontId="258" fillId="2" borderId="2" xfId="0" applyFont="1" applyFill="1" applyBorder="1" applyAlignment="1">
      <alignment horizontal="left" vertical="center"/>
    </xf>
    <xf numFmtId="0" fontId="264" fillId="0" borderId="3" xfId="0" applyFont="1" applyBorder="1" applyAlignment="1">
      <alignment horizontal="center" vertical="center"/>
    </xf>
    <xf numFmtId="0" fontId="264" fillId="0" borderId="75" xfId="0" applyFont="1" applyBorder="1" applyAlignment="1">
      <alignment horizontal="center" vertical="center"/>
    </xf>
    <xf numFmtId="0" fontId="264" fillId="0" borderId="9" xfId="0" applyFont="1" applyBorder="1" applyAlignment="1">
      <alignment horizontal="center" vertical="center"/>
    </xf>
    <xf numFmtId="0" fontId="264" fillId="0" borderId="7" xfId="0" applyFont="1" applyBorder="1" applyAlignment="1">
      <alignment horizontal="center" vertical="center"/>
    </xf>
    <xf numFmtId="0" fontId="264" fillId="0" borderId="8" xfId="0" applyFont="1" applyBorder="1" applyAlignment="1">
      <alignment horizontal="center" vertical="center"/>
    </xf>
  </cellXfs>
  <cellStyles count="44411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4" xr:uid="{00000000-0005-0000-0000-00004D000000}"/>
    <cellStyle name="Euro 4" xfId="43975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6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5" xr:uid="{1FB2FA07-5677-432E-BCC4-0A524CA81AEB}"/>
    <cellStyle name="Millares 10 3 11" xfId="44361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60" xr:uid="{4357CC07-9A9D-4A40-A8B4-5099DD70D809}"/>
    <cellStyle name="Millares 101" xfId="44063" xr:uid="{F73725D2-99EC-42C4-AA3D-D4C46463B909}"/>
    <cellStyle name="Millares 102" xfId="44072" xr:uid="{93B69E9D-6069-4093-BAD6-5720722B7B10}"/>
    <cellStyle name="Millares 103" xfId="44074" xr:uid="{6002A147-325C-4E26-AE29-C0347773AD05}"/>
    <cellStyle name="Millares 104" xfId="44083" xr:uid="{B848453F-EF39-4FCF-86EA-7CEA0DE401D1}"/>
    <cellStyle name="Millares 105" xfId="44086" xr:uid="{A844E5B2-E2CB-4213-8E10-8180A586249C}"/>
    <cellStyle name="Millares 106" xfId="44093" xr:uid="{B1DB98DF-8257-4B46-A3B8-77CE5D51C5E0}"/>
    <cellStyle name="Millares 107" xfId="44094" xr:uid="{6A8DC0A8-36AB-4256-BA6D-E1AB6E969A85}"/>
    <cellStyle name="Millares 108" xfId="44096" xr:uid="{15D0EF52-B624-424F-A09D-5C8057363040}"/>
    <cellStyle name="Millares 109" xfId="44100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3" xr:uid="{5CEFF769-1D5D-40DA-9FA8-EEEB91B21E60}"/>
    <cellStyle name="Millares 111" xfId="44110" xr:uid="{64C4A08F-E640-4C7A-9976-FF95ACA6CD41}"/>
    <cellStyle name="Millares 112" xfId="44117" xr:uid="{CEE363BE-65C6-4603-8A70-60CA074E61F1}"/>
    <cellStyle name="Millares 113" xfId="44125" xr:uid="{48DDBCC6-795B-4EC0-BFAE-D81150CCB9B6}"/>
    <cellStyle name="Millares 114" xfId="44130" xr:uid="{39D532B9-ECAE-4046-824D-2B18468BE570}"/>
    <cellStyle name="Millares 115" xfId="44138" xr:uid="{179AFC67-38E0-425F-AAB4-032398ABE64A}"/>
    <cellStyle name="Millares 116" xfId="44146" xr:uid="{5FCD829F-237D-4E23-96CC-216C1C5283FF}"/>
    <cellStyle name="Millares 117" xfId="44161" xr:uid="{0D0030A9-62C2-44A7-A917-E4ADD1CACB52}"/>
    <cellStyle name="Millares 118" xfId="44177" xr:uid="{93AA5BEC-5E8A-4AD7-AAE7-BA7C476720AA}"/>
    <cellStyle name="Millares 119" xfId="44178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5" xr:uid="{6F9068FC-204B-4F55-BC0B-618E53574C87}"/>
    <cellStyle name="Millares 121" xfId="44186" xr:uid="{39920041-FDFD-4363-A7EC-0A96C74A3265}"/>
    <cellStyle name="Millares 122" xfId="44198" xr:uid="{D70BEDE2-E877-4155-B266-D8D331B9379C}"/>
    <cellStyle name="Millares 123" xfId="44203" xr:uid="{F9F762D5-1AA7-4333-9EE0-C1280823B73B}"/>
    <cellStyle name="Millares 124" xfId="44205" xr:uid="{71B330E6-CF79-4454-9D58-A06F3106F4F3}"/>
    <cellStyle name="Millares 125" xfId="44208" xr:uid="{1147A807-049E-412D-A1C0-71E37F0A020D}"/>
    <cellStyle name="Millares 126" xfId="44214" xr:uid="{A17212F6-B651-4654-A36C-3A8B4BD62F7A}"/>
    <cellStyle name="Millares 127" xfId="44224" xr:uid="{3CD17AA9-521E-4455-94FB-9075498A61A8}"/>
    <cellStyle name="Millares 128" xfId="44231" xr:uid="{1A6FC2FD-F73C-4BCE-83CD-A4D78102650F}"/>
    <cellStyle name="Millares 129" xfId="44240" xr:uid="{171F470E-BF5C-4CA0-92A6-6D82C15C2DC0}"/>
    <cellStyle name="Millares 13" xfId="88" xr:uid="{00000000-0005-0000-0000-0000DD070000}"/>
    <cellStyle name="Millares 13 2" xfId="43977" xr:uid="{00000000-0005-0000-0000-0000DE070000}"/>
    <cellStyle name="Millares 13 3" xfId="43978" xr:uid="{00000000-0005-0000-0000-0000DF070000}"/>
    <cellStyle name="Millares 130" xfId="44249" xr:uid="{392FF89C-F0E0-4B86-9AE1-3AE04613174F}"/>
    <cellStyle name="Millares 131" xfId="44256" xr:uid="{B76B996B-BF9B-4637-8041-08E9C6339FF0}"/>
    <cellStyle name="Millares 132" xfId="44264" xr:uid="{B3FCA980-3630-4D8B-A524-C0F119587E22}"/>
    <cellStyle name="Millares 133" xfId="44268" xr:uid="{F114ED34-FAC8-4802-8B31-4F682CA6D46F}"/>
    <cellStyle name="Millares 134" xfId="44270" xr:uid="{CEC43C35-196A-4F54-8A20-44A4EA67356D}"/>
    <cellStyle name="Millares 135" xfId="44278" xr:uid="{CE61D3A8-A530-4F59-B981-BC986012560B}"/>
    <cellStyle name="Millares 136" xfId="44285" xr:uid="{FD5752D9-B629-4C67-B0ED-20B8F134DDF0}"/>
    <cellStyle name="Millares 137" xfId="44292" xr:uid="{0DD6AB75-A025-4525-88BD-A8275593E121}"/>
    <cellStyle name="Millares 138" xfId="44300" xr:uid="{C26CE569-1824-4BFB-A0F9-5268C469EF5E}"/>
    <cellStyle name="Millares 139" xfId="44314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9" xr:uid="{C9B6329E-0213-42BC-B298-B1C13E625D2F}"/>
    <cellStyle name="Millares 141" xfId="44326" xr:uid="{C223B61A-657E-4FB2-BBBA-7AB2D4BE2312}"/>
    <cellStyle name="Millares 142" xfId="44338" xr:uid="{FC7A78EA-73D2-44AA-8FBD-91AE6BFA78FF}"/>
    <cellStyle name="Millares 143" xfId="44343" xr:uid="{34AB5501-CA5D-4E88-B111-0C59A28D96A4}"/>
    <cellStyle name="Millares 144" xfId="44345" xr:uid="{D9302EB0-7CA4-4A5A-80A8-6524D500F8FE}"/>
    <cellStyle name="Millares 145" xfId="44356" xr:uid="{F433A340-7E3B-49B1-9E08-4AF3D57E9B3F}"/>
    <cellStyle name="Millares 146" xfId="44358" xr:uid="{14484B7E-3EF4-402E-B9F5-B0E8C5D2610F}"/>
    <cellStyle name="Millares 147" xfId="44360" xr:uid="{E61553E5-1D4E-40E3-8A7C-645599823589}"/>
    <cellStyle name="Millares 148" xfId="44385" xr:uid="{569B222A-4B94-452A-879D-3CF27398745D}"/>
    <cellStyle name="Millares 149" xfId="44399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4" xr:uid="{41EAC41E-BC89-40D0-8802-B7985058E305}"/>
    <cellStyle name="Millares 151" xfId="44406" xr:uid="{FEC3837D-768C-4B95-883E-B051A535C13B}"/>
    <cellStyle name="Millares 152" xfId="44410" xr:uid="{DE2B697C-2358-48E5-BDCD-0C4C44B0950B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7" xfId="164" xr:uid="{00000000-0005-0000-0000-0000A00B0000}"/>
    <cellStyle name="Millares 17 2" xfId="43979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80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1" xr:uid="{2A76C99D-077C-4018-980F-895C0E7F5269}"/>
    <cellStyle name="Millares 2 6" xfId="44400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1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2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2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1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2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3" xr:uid="{00000000-0005-0000-0000-0000C02D0000}"/>
    <cellStyle name="Millares 82" xfId="43937" xr:uid="{00000000-0005-0000-0000-0000C12D0000}"/>
    <cellStyle name="Millares 83" xfId="43939" xr:uid="{00000000-0005-0000-0000-0000C22D0000}"/>
    <cellStyle name="Millares 84" xfId="43945" xr:uid="{00000000-0005-0000-0000-0000C32D0000}"/>
    <cellStyle name="Millares 85" xfId="43954" xr:uid="{00000000-0005-0000-0000-0000C42D0000}"/>
    <cellStyle name="Millares 86" xfId="43956" xr:uid="{00000000-0005-0000-0000-0000C52D0000}"/>
    <cellStyle name="Millares 87" xfId="43962" xr:uid="{00000000-0005-0000-0000-0000C62D0000}"/>
    <cellStyle name="Millares 88" xfId="43965" xr:uid="{00000000-0005-0000-0000-0000C72D0000}"/>
    <cellStyle name="Millares 89" xfId="43967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4000" xr:uid="{7214FD22-0708-4E1C-8260-1E20ED60BE7B}"/>
    <cellStyle name="Millares 91" xfId="44009" xr:uid="{FB9593D4-B4F5-434D-A184-0411352264D2}"/>
    <cellStyle name="Millares 92" xfId="44011" xr:uid="{D82694AA-1873-42AF-BED2-6143CAEB3E46}"/>
    <cellStyle name="Millares 93" xfId="44013" xr:uid="{8768CEA1-56FE-4629-AEB9-342FC8434BF6}"/>
    <cellStyle name="Millares 94" xfId="44014" xr:uid="{7C159F47-FA64-498A-A842-3E6510CE8F99}"/>
    <cellStyle name="Millares 95" xfId="44020" xr:uid="{A499D72C-6363-40C5-B107-5A33379CEC03}"/>
    <cellStyle name="Millares 95 2" xfId="44158" xr:uid="{54C39383-57CD-47B1-8F4C-ABC1FC0289D6}"/>
    <cellStyle name="Millares 95 3" xfId="44174" xr:uid="{43D231AE-28DD-4418-83C4-590F8E267262}"/>
    <cellStyle name="Millares 96" xfId="44039" xr:uid="{EC78B327-5EDC-4C62-9DD2-ACB5D0CAF8C8}"/>
    <cellStyle name="Millares 97" xfId="44046" xr:uid="{5065FC57-47F2-4B44-87DB-F25DC2CC215B}"/>
    <cellStyle name="Millares 98" xfId="44054" xr:uid="{7F6943DA-9F12-476C-80ED-393828068019}"/>
    <cellStyle name="Millares 99" xfId="44057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6" xr:uid="{5321ADC0-79C8-4BA8-B97D-F0FA16DCE564}"/>
    <cellStyle name="Moneda 101" xfId="44290" xr:uid="{B396C2F7-D8BA-4E12-B2DD-94C766B71C94}"/>
    <cellStyle name="Moneda 102" xfId="44294" xr:uid="{A21E4D9B-A2A7-473C-8D37-29211ED4D4B7}"/>
    <cellStyle name="Moneda 103" xfId="44298" xr:uid="{DFDD57F5-7BF5-4217-8791-5F234CD47A37}"/>
    <cellStyle name="Moneda 104" xfId="44301" xr:uid="{89E3D71F-7585-4F8F-BA15-547FC5FFE5EA}"/>
    <cellStyle name="Moneda 105" xfId="44305" xr:uid="{C77AE56A-0E35-4AFB-B985-387FAD68E38B}"/>
    <cellStyle name="Moneda 106" xfId="44308" xr:uid="{CBCA369C-4933-43AD-A9C2-D4FD0F8A6A70}"/>
    <cellStyle name="Moneda 107" xfId="44312" xr:uid="{1F05D809-4981-4AC8-A094-A31B6ECECBCC}"/>
    <cellStyle name="Moneda 108" xfId="44317" xr:uid="{FEE29BDA-8795-440C-B163-8270E469A5B7}"/>
    <cellStyle name="Moneda 109" xfId="44320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4" xr:uid="{18A0B16D-28BE-4053-915D-7CA399D171EB}"/>
    <cellStyle name="Moneda 111" xfId="44328" xr:uid="{5B8C1B43-50D8-4B39-A968-F8241B7BFCBC}"/>
    <cellStyle name="Moneda 112" xfId="44332" xr:uid="{5137EB05-8409-4550-A29C-888C2BA1DD13}"/>
    <cellStyle name="Moneda 113" xfId="44334" xr:uid="{F7619508-D567-4FC3-8127-70B8E9BE430B}"/>
    <cellStyle name="Moneda 114" xfId="44337" xr:uid="{6C7BC907-B601-471E-911E-0887774DE367}"/>
    <cellStyle name="Moneda 115" xfId="44341" xr:uid="{E3F7B480-5F27-4E05-97AA-F4465434E65B}"/>
    <cellStyle name="Moneda 116" xfId="44347" xr:uid="{82AD81F4-389B-4D4D-82FB-B0C6F03458D2}"/>
    <cellStyle name="Moneda 117" xfId="44350" xr:uid="{99406045-7D8F-4BA3-B587-EA375E1E3876}"/>
    <cellStyle name="Moneda 118" xfId="44352" xr:uid="{C82FB0CC-2DCB-49C7-BBF1-25219E3B10BA}"/>
    <cellStyle name="Moneda 119" xfId="44355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3" xr:uid="{881DFA88-0F3A-4B02-9AD5-C429A086F741}"/>
    <cellStyle name="Moneda 121" xfId="44366" xr:uid="{B83B8951-D7CF-4876-8BF6-964C16FE8294}"/>
    <cellStyle name="Moneda 122" xfId="44369" xr:uid="{30DBD0EF-6679-4A8E-9482-83C70DE1747C}"/>
    <cellStyle name="Moneda 123" xfId="44372" xr:uid="{17CBAFE7-6D51-4588-9D29-A60853668EFB}"/>
    <cellStyle name="Moneda 124" xfId="44375" xr:uid="{18FEF441-AC7F-4648-B3F8-983EF62C52A1}"/>
    <cellStyle name="Moneda 125" xfId="44378" xr:uid="{265874A5-A28F-4919-A7D2-47EF4E0A2DEB}"/>
    <cellStyle name="Moneda 126" xfId="44380" xr:uid="{1AD01DC8-F212-409F-BE40-96CB9CE08673}"/>
    <cellStyle name="Moneda 127" xfId="44383" xr:uid="{6573B07F-7BEF-4BDE-A68E-D89AECBE6DEB}"/>
    <cellStyle name="Moneda 128" xfId="44386" xr:uid="{C3D74BFF-F6AC-4142-B96E-038C0C2D84D1}"/>
    <cellStyle name="Moneda 129" xfId="44389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2" xr:uid="{0FF206D5-B8DB-4340-8738-47BBB6784E9C}"/>
    <cellStyle name="Moneda 131" xfId="44397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7" xr:uid="{00000000-0005-0000-0000-00008F310000}"/>
    <cellStyle name="Moneda 41" xfId="43942" xr:uid="{00000000-0005-0000-0000-000090310000}"/>
    <cellStyle name="Moneda 42" xfId="43951" xr:uid="{00000000-0005-0000-0000-000091310000}"/>
    <cellStyle name="Moneda 43" xfId="43959" xr:uid="{00000000-0005-0000-0000-000092310000}"/>
    <cellStyle name="Moneda 44" xfId="43969" xr:uid="{00000000-0005-0000-0000-000093310000}"/>
    <cellStyle name="Moneda 45" xfId="43994" xr:uid="{00000000-0005-0000-0000-000094310000}"/>
    <cellStyle name="Moneda 46" xfId="43996" xr:uid="{00000000-0005-0000-0000-000095310000}"/>
    <cellStyle name="Moneda 47" xfId="43998" xr:uid="{A6E655DF-1CF4-467F-9560-53217220EF51}"/>
    <cellStyle name="Moneda 48" xfId="44003" xr:uid="{8D1F57D6-04AF-42FA-BC13-392E733D9ACA}"/>
    <cellStyle name="Moneda 49" xfId="44017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3" xr:uid="{46C5B6B4-B1FC-44A6-8E5E-7C3572F80893}"/>
    <cellStyle name="Moneda 51" xfId="44028" xr:uid="{C6BA386D-AE7A-48BD-A649-93CDEC5E229E}"/>
    <cellStyle name="Moneda 52" xfId="44031" xr:uid="{C32F09D3-3E97-41E7-932B-95C0CB15F428}"/>
    <cellStyle name="Moneda 53" xfId="44034" xr:uid="{80C8FFE0-6CA8-467E-B12D-A9185A5712F7}"/>
    <cellStyle name="Moneda 54" xfId="44037" xr:uid="{BCC4F30C-AF14-488C-A123-CC11638467BD}"/>
    <cellStyle name="Moneda 55" xfId="44044" xr:uid="{5F5363FB-C9CE-4EC9-B2D8-7EA8F6A4B9C3}"/>
    <cellStyle name="Moneda 56" xfId="44048" xr:uid="{9D7DBA6A-BF91-45B9-BFAE-2FA8A0AF3D41}"/>
    <cellStyle name="Moneda 57" xfId="44051" xr:uid="{6823A5C1-48F9-499C-9856-28F9FB1510C1}"/>
    <cellStyle name="Moneda 58" xfId="44064" xr:uid="{A85BA041-4B13-4F82-A51D-1F67D44F95A4}"/>
    <cellStyle name="Moneda 59" xfId="44068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5" xr:uid="{9A39558B-6D02-45D1-B2ED-73AE0EF376E6}"/>
    <cellStyle name="Moneda 61" xfId="44079" xr:uid="{BF7EFA31-4203-4FD5-9576-F2F3867947C4}"/>
    <cellStyle name="Moneda 62" xfId="44088" xr:uid="{7A02F3DD-00CB-44E8-A68F-F17B9CF01B93}"/>
    <cellStyle name="Moneda 63" xfId="44097" xr:uid="{643E4338-B24C-4D10-AAB0-5FA8B206B337}"/>
    <cellStyle name="Moneda 64" xfId="44106" xr:uid="{DA567617-F04E-46BB-A278-8ADB85CE20CF}"/>
    <cellStyle name="Moneda 65" xfId="44111" xr:uid="{46F0A87F-6947-4C00-B7BA-1FFE85E815AB}"/>
    <cellStyle name="Moneda 66" xfId="44118" xr:uid="{34C79E4E-2356-4CA1-9CE0-F4E371626BAB}"/>
    <cellStyle name="Moneda 67" xfId="44126" xr:uid="{E731EB1B-8E33-438B-8028-95DB84EE4D1B}"/>
    <cellStyle name="Moneda 68" xfId="44134" xr:uid="{3C378925-394B-467A-BBB0-0255FF71BBA7}"/>
    <cellStyle name="Moneda 69" xfId="44139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4" xr:uid="{2101B94E-04B4-48AD-896F-943F3387BCDA}"/>
    <cellStyle name="Moneda 71" xfId="44148" xr:uid="{7BC7DFD7-6E97-467D-AA4B-2428DC5E5255}"/>
    <cellStyle name="Moneda 72" xfId="44154" xr:uid="{76518FFF-DB1B-455B-A3C4-571E67AE143D}"/>
    <cellStyle name="Moneda 73" xfId="44163" xr:uid="{403D3244-F882-4326-B709-8125CB9338D8}"/>
    <cellStyle name="Moneda 73 2" xfId="44172" xr:uid="{AAFD3724-A440-4830-8E4A-674063ECD26A}"/>
    <cellStyle name="Moneda 74" xfId="44168" xr:uid="{C9FC77CC-1CF3-401E-B0EB-E32CA3346B8A}"/>
    <cellStyle name="Moneda 75" xfId="44179" xr:uid="{AFAE3723-6052-4974-BB78-DC9803EE8459}"/>
    <cellStyle name="Moneda 76" xfId="44183" xr:uid="{33956D07-AF39-4AD7-A64D-651778971965}"/>
    <cellStyle name="Moneda 77" xfId="44187" xr:uid="{71A53CA2-DC58-4DAB-9140-E9E04E27426D}"/>
    <cellStyle name="Moneda 78" xfId="44192" xr:uid="{670A6FA0-3D1B-40CC-82E5-B272E775A61B}"/>
    <cellStyle name="Moneda 79" xfId="44194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1" xr:uid="{55CF4038-6CAA-437E-ADC1-E192E6E9C752}"/>
    <cellStyle name="Moneda 81" xfId="44210" xr:uid="{F3980EF2-5229-4BE2-92C4-982C033D7FDF}"/>
    <cellStyle name="Moneda 82" xfId="44213" xr:uid="{0E85A4D5-04F8-4797-8827-5FEFF323E0A9}"/>
    <cellStyle name="Moneda 83" xfId="44216" xr:uid="{881AD0F6-FBBE-45D5-89EE-0860D785DB3A}"/>
    <cellStyle name="Moneda 84" xfId="44220" xr:uid="{1522CC43-1270-4ADA-AFDA-11EFDA991003}"/>
    <cellStyle name="Moneda 85" xfId="44225" xr:uid="{4542585B-CDC9-4A0F-9073-BE2747F69127}"/>
    <cellStyle name="Moneda 86" xfId="44229" xr:uid="{CB4F9AE5-734C-4AA1-AA5B-14E3D43CDE24}"/>
    <cellStyle name="Moneda 87" xfId="44233" xr:uid="{B29D0977-E9DB-4AB9-AFCB-112AB80B646E}"/>
    <cellStyle name="Moneda 88" xfId="44238" xr:uid="{A400A0ED-E684-4C9A-BF2B-CA1703E7820A}"/>
    <cellStyle name="Moneda 89" xfId="44243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7" xr:uid="{0DA21A07-6736-411D-9FFA-350A382BB81F}"/>
    <cellStyle name="Moneda 91" xfId="44250" xr:uid="{48D8D9FF-45DD-41BB-AB9E-A5E2E7617CE9}"/>
    <cellStyle name="Moneda 92" xfId="44254" xr:uid="{1B712E6F-769E-40B3-AA93-AE1C02B90D60}"/>
    <cellStyle name="Moneda 93" xfId="44258" xr:uid="{890DB37F-9E63-44F9-999D-60AB7DCE843F}"/>
    <cellStyle name="Moneda 94" xfId="44262" xr:uid="{B2620914-C212-4660-A027-5C087ECA9650}"/>
    <cellStyle name="Moneda 95" xfId="44266" xr:uid="{8D30FB91-A5CB-465C-AF4D-056412EEB760}"/>
    <cellStyle name="Moneda 96" xfId="44272" xr:uid="{2EA008D0-A206-49E9-8F05-CC1F9CCEF083}"/>
    <cellStyle name="Moneda 97" xfId="44276" xr:uid="{B1797D36-D1AD-4721-A836-CE07C22854EA}"/>
    <cellStyle name="Moneda 98" xfId="44279" xr:uid="{64E32E55-9068-4875-9A96-398343EF9CA8}"/>
    <cellStyle name="Moneda 99" xfId="44283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8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6" xr:uid="{00000000-0005-0000-0000-00000D3E0000}"/>
    <cellStyle name="Normal 108 2" xfId="44169" xr:uid="{367B2BC1-BB75-46D6-9F35-600948A1CA8E}"/>
    <cellStyle name="Normal 109" xfId="43932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8" xr:uid="{00000000-0005-0000-0000-00000F480000}"/>
    <cellStyle name="Normal 111" xfId="43940" xr:uid="{00000000-0005-0000-0000-000010480000}"/>
    <cellStyle name="Normal 112" xfId="43941" xr:uid="{00000000-0005-0000-0000-000011480000}"/>
    <cellStyle name="Normal 113" xfId="43944" xr:uid="{00000000-0005-0000-0000-000012480000}"/>
    <cellStyle name="Normal 114" xfId="43947" xr:uid="{00000000-0005-0000-0000-000013480000}"/>
    <cellStyle name="Normal 115" xfId="43948" xr:uid="{00000000-0005-0000-0000-000014480000}"/>
    <cellStyle name="Normal 116" xfId="43950" xr:uid="{00000000-0005-0000-0000-000015480000}"/>
    <cellStyle name="Normal 117" xfId="43953" xr:uid="{00000000-0005-0000-0000-000016480000}"/>
    <cellStyle name="Normal 118" xfId="43957" xr:uid="{00000000-0005-0000-0000-000017480000}"/>
    <cellStyle name="Normal 119" xfId="43958" xr:uid="{00000000-0005-0000-0000-000018480000}"/>
    <cellStyle name="Normal 12" xfId="26" xr:uid="{00000000-0005-0000-0000-000019480000}"/>
    <cellStyle name="Normal 120" xfId="43961" xr:uid="{00000000-0005-0000-0000-00001A480000}"/>
    <cellStyle name="Normal 120 2" xfId="44007" xr:uid="{80B85FC2-610D-4083-9A51-EF875968EA86}"/>
    <cellStyle name="Normal 121" xfId="43964" xr:uid="{00000000-0005-0000-0000-00001B480000}"/>
    <cellStyle name="Normal 122" xfId="43968" xr:uid="{00000000-0005-0000-0000-00001C480000}"/>
    <cellStyle name="Normal 123" xfId="43971" xr:uid="{00000000-0005-0000-0000-00001D480000}"/>
    <cellStyle name="Normal 124" xfId="43992" xr:uid="{00000000-0005-0000-0000-00001E480000}"/>
    <cellStyle name="Normal 124 2" xfId="44005" xr:uid="{603D1A66-289C-41E2-B64A-83DFDD6D043B}"/>
    <cellStyle name="Normal 125" xfId="43993" xr:uid="{00000000-0005-0000-0000-00001F480000}"/>
    <cellStyle name="Normal 126" xfId="43997" xr:uid="{76DD7141-2112-4837-8FF6-DFB3682E2643}"/>
    <cellStyle name="Normal 127" xfId="44002" xr:uid="{BB17578D-8F4A-485E-B00D-5FDB4AC448B0}"/>
    <cellStyle name="Normal 128" xfId="44006" xr:uid="{35AA9408-F880-4369-AED1-E6FA2E43D9D5}"/>
    <cellStyle name="Normal 128 2" xfId="44159" xr:uid="{CE780733-F494-4966-B00D-CB61258FBD51}"/>
    <cellStyle name="Normal 128 3" xfId="44175" xr:uid="{D71FCE97-E251-46C2-9C9C-073DFFF1300F}"/>
    <cellStyle name="Normal 128 4" xfId="44184" xr:uid="{60C63E71-C12D-48A2-84A3-CEFAA747CE4B}"/>
    <cellStyle name="Normal 128 5" xfId="44202" xr:uid="{A51A53E5-005A-4E31-9BFF-DEDA113B7E13}"/>
    <cellStyle name="Normal 128 6" xfId="44241" xr:uid="{68B44232-5689-4730-85E7-9CBF93A65EC7}"/>
    <cellStyle name="Normal 129" xfId="44010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5" xr:uid="{93665A41-9047-45B1-8D0A-347E4C35502B}"/>
    <cellStyle name="Normal 131" xfId="44016" xr:uid="{B10A5448-8B9C-4230-8709-9CB0A48D33B6}"/>
    <cellStyle name="Normal 132" xfId="44019" xr:uid="{8C478E15-E6B7-4A98-89AD-BF65F517E29E}"/>
    <cellStyle name="Normal 132 2" xfId="44157" xr:uid="{0E14079F-1BEF-45E3-B778-8406187FB137}"/>
    <cellStyle name="Normal 132 3" xfId="44173" xr:uid="{EADB811D-E17F-49CA-898A-16B8976187F7}"/>
    <cellStyle name="Normal 133" xfId="44022" xr:uid="{24F4E444-0DC2-4BA9-B839-D8D9FB4B3A02}"/>
    <cellStyle name="Normal 134" xfId="44027" xr:uid="{06AE4128-FC39-41A0-8791-698569E7C0BD}"/>
    <cellStyle name="Normal 135" xfId="44030" xr:uid="{8BE0820A-7B61-44DB-9F16-CFD19BD7CE37}"/>
    <cellStyle name="Normal 136" xfId="44033" xr:uid="{B2908B98-FBA9-4286-9A75-DE7D98E08851}"/>
    <cellStyle name="Normal 137" xfId="44036" xr:uid="{F4BDB42B-3E15-491C-8E11-E555887B86FF}"/>
    <cellStyle name="Normal 138" xfId="44043" xr:uid="{05103B51-1B0F-4DB4-9951-C85854D51BA8}"/>
    <cellStyle name="Normal 139" xfId="44047" xr:uid="{0B2B551F-B038-49DB-886A-540F52ED2DE4}"/>
    <cellStyle name="Normal 14" xfId="45" xr:uid="{00000000-0005-0000-0000-0000204D0000}"/>
    <cellStyle name="Normal 140" xfId="44050" xr:uid="{2A54099D-8FFE-4E0C-91BD-52924E64ACBD}"/>
    <cellStyle name="Normal 140 10" xfId="44120" xr:uid="{072E2725-CF24-4AD9-B022-4EBC130068A4}"/>
    <cellStyle name="Normal 140 11" xfId="44128" xr:uid="{720DE38F-7C8F-4D63-B63C-8263B95EEE32}"/>
    <cellStyle name="Normal 140 12" xfId="44136" xr:uid="{CA923FB3-00D1-4E25-9BA7-DF0F09762532}"/>
    <cellStyle name="Normal 140 13" xfId="44141" xr:uid="{177F3C2B-E6DE-4A67-82CB-8ABEEB980CBE}"/>
    <cellStyle name="Normal 140 14" xfId="44150" xr:uid="{C80124C8-8366-47FF-B4FA-18C0FBBF7AC5}"/>
    <cellStyle name="Normal 140 15" xfId="44156" xr:uid="{18E48549-C010-4F13-A3CD-0853E56CEA9F}"/>
    <cellStyle name="Normal 140 16" xfId="44165" xr:uid="{6152A880-5232-4DBE-90B7-29C6292A7B69}"/>
    <cellStyle name="Normal 140 16 2" xfId="44171" xr:uid="{F5E62F39-E597-4632-B039-D82EFE5C3939}"/>
    <cellStyle name="Normal 140 17" xfId="44181" xr:uid="{F6F14E4C-8D77-44CD-8CD5-656F79BC5141}"/>
    <cellStyle name="Normal 140 18" xfId="44189" xr:uid="{EDE9D314-9BB6-4D8D-A2B9-5B30A4182E86}"/>
    <cellStyle name="Normal 140 19" xfId="44196" xr:uid="{6AA2F2EF-1FBE-47C8-8707-72FBF71E86D6}"/>
    <cellStyle name="Normal 140 2" xfId="44066" xr:uid="{87492154-98BE-4A05-912A-8F3E8450F5B4}"/>
    <cellStyle name="Normal 140 20" xfId="44212" xr:uid="{4631F78D-CED9-4009-A22A-937E4D74FEAD}"/>
    <cellStyle name="Normal 140 21" xfId="44218" xr:uid="{87F1F798-C83F-4242-A7B4-52E1FA487DC3}"/>
    <cellStyle name="Normal 140 22" xfId="44222" xr:uid="{6F3C14DE-ED34-4000-BB49-576F1633B5D5}"/>
    <cellStyle name="Normal 140 23" xfId="44227" xr:uid="{1874EB2C-642A-4D1B-9D9C-EACE80ABC7A8}"/>
    <cellStyle name="Normal 140 24" xfId="44235" xr:uid="{8BBD19E4-59DC-4424-83A1-07997B457BEC}"/>
    <cellStyle name="Normal 140 25" xfId="44245" xr:uid="{76234813-87B2-46D2-A97C-6BC81D615B18}"/>
    <cellStyle name="Normal 140 26" xfId="44252" xr:uid="{19AF6FBD-9A6F-44DF-AE20-4760DDB6FF2E}"/>
    <cellStyle name="Normal 140 27" xfId="44260" xr:uid="{BC79184C-4C11-43F6-A035-2A651298B3FC}"/>
    <cellStyle name="Normal 140 28" xfId="44274" xr:uid="{4B693D18-8550-46C9-A456-03316338856A}"/>
    <cellStyle name="Normal 140 29" xfId="44281" xr:uid="{04C868A0-52F8-4A3D-8E6B-BBDACDC0ED01}"/>
    <cellStyle name="Normal 140 3" xfId="44070" xr:uid="{2B6DE311-0213-4247-82EF-87864568864F}"/>
    <cellStyle name="Normal 140 30" xfId="44288" xr:uid="{517145CA-8B32-49DE-B494-85512E4BE9BE}"/>
    <cellStyle name="Normal 140 31" xfId="44296" xr:uid="{12B5AEBC-4E1E-4D42-98FD-6E3D9BFB54C0}"/>
    <cellStyle name="Normal 140 32" xfId="44303" xr:uid="{307A5FE7-7F4C-4C19-BF5B-084CE979E35F}"/>
    <cellStyle name="Normal 140 33" xfId="44310" xr:uid="{DF9179A0-9EBD-4C1D-B4A4-F8A2E412C97F}"/>
    <cellStyle name="Normal 140 4" xfId="44077" xr:uid="{3D671AB6-032A-4953-9911-AB33C8A49CDB}"/>
    <cellStyle name="Normal 140 5" xfId="44081" xr:uid="{DDCA0FDB-49C5-4D3E-8D91-15D51D7D64F1}"/>
    <cellStyle name="Normal 140 6" xfId="44090" xr:uid="{64947995-F1DD-491D-9665-E1204BCB452D}"/>
    <cellStyle name="Normal 140 7" xfId="44099" xr:uid="{FCFBEA63-4FA6-4F44-9941-CB2B5184B8CA}"/>
    <cellStyle name="Normal 140 8" xfId="44108" xr:uid="{AAC7201A-0F8A-4DB5-8B72-3374B465E90A}"/>
    <cellStyle name="Normal 140 9" xfId="44113" xr:uid="{769B9986-E718-4166-9581-C0EB7E291398}"/>
    <cellStyle name="Normal 141" xfId="44053" xr:uid="{F28785BC-DB76-44B2-A13D-B2246455F2A8}"/>
    <cellStyle name="Normal 142" xfId="44056" xr:uid="{87C4373F-E2CB-49D4-9B46-2BB7F4B0347E}"/>
    <cellStyle name="Normal 143" xfId="44059" xr:uid="{0E9DBBAE-08C4-4CB2-A3E2-47B559436B88}"/>
    <cellStyle name="Normal 144" xfId="44062" xr:uid="{2428B7C1-26CA-48ED-BD46-717843228C54}"/>
    <cellStyle name="Normal 145" xfId="44067" xr:uid="{6427E0F8-E535-40D1-87C5-8239ED0B262F}"/>
    <cellStyle name="Normal 146" xfId="44071" xr:uid="{2DA82A6B-F8F4-4DDA-A43F-F832CEF75851}"/>
    <cellStyle name="Normal 147" xfId="44073" xr:uid="{68709D0D-0288-43FF-8E4A-5B4E963000CE}"/>
    <cellStyle name="Normal 148" xfId="44078" xr:uid="{CAFD8202-2610-48B8-A517-A3B492E08CD4}"/>
    <cellStyle name="Normal 149" xfId="44082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5" xr:uid="{746C4DCE-25DC-4470-95E8-5B9393C3166E}"/>
    <cellStyle name="Normal 151" xfId="44087" xr:uid="{423602FF-1AAE-4B7B-963E-F19472B6575A}"/>
    <cellStyle name="Normal 152" xfId="44092" xr:uid="{12EECA04-F404-48AA-B8D3-CB490FA7061D}"/>
    <cellStyle name="Normal 153" xfId="44095" xr:uid="{CA2E6DED-DBD3-4AF7-9552-9D713C1152A8}"/>
    <cellStyle name="Normal 154" xfId="44102" xr:uid="{EF1CEC00-B16F-4B60-8A1E-C03A0E18A0F9}"/>
    <cellStyle name="Normal 155" xfId="44105" xr:uid="{006C50FE-3704-42F8-988E-9D148C8718DF}"/>
    <cellStyle name="Normal 156" xfId="44109" xr:uid="{AFFC09BA-9355-4514-8A64-B571CA195BD2}"/>
    <cellStyle name="Normal 157" xfId="44116" xr:uid="{AC360B5C-A8E1-46FE-9C62-A450EEB87695}"/>
    <cellStyle name="Normal 158" xfId="44122" xr:uid="{93BE7D61-9405-4C6E-B7E4-BA8398EC28F6}"/>
    <cellStyle name="Normal 159" xfId="44124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9" xr:uid="{FB7AB4A3-DCA0-4284-935E-A252AD589E3C}"/>
    <cellStyle name="Normal 161" xfId="44131" xr:uid="{058E41EC-47FA-4B3B-B771-F8910030C331}"/>
    <cellStyle name="Normal 162" xfId="44133" xr:uid="{8213E00E-024D-4EB6-82CB-6E180D4A51FD}"/>
    <cellStyle name="Normal 163" xfId="44137" xr:uid="{A7E2C80F-B9F3-4C2F-B3C5-3BB9B7FA97B9}"/>
    <cellStyle name="Normal 164" xfId="44143" xr:uid="{901028E3-4953-4878-8A62-C2016AEB3362}"/>
    <cellStyle name="Normal 165" xfId="44145" xr:uid="{C4D5BFBF-EC40-4B54-AC94-CAA200061E44}"/>
    <cellStyle name="Normal 166" xfId="44151" xr:uid="{A417B886-DF1F-4FE4-8393-3E342B4BD1F7}"/>
    <cellStyle name="Normal 167" xfId="44153" xr:uid="{4FD13B29-6826-4785-A8ED-453843864335}"/>
    <cellStyle name="Normal 168" xfId="44162" xr:uid="{BD59F194-DFD0-4BC0-B9AF-B8AE2B3C734E}"/>
    <cellStyle name="Normal 169" xfId="44166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90" xr:uid="{603EA91E-6EC7-432A-9817-76A3DD33F36B}"/>
    <cellStyle name="Normal 171" xfId="44193" xr:uid="{9E7CAC12-A7C4-4C3E-9D48-B0568661522F}"/>
    <cellStyle name="Normal 172" xfId="44197" xr:uid="{9052CD80-206E-4A4B-9F06-FE6F6AF9CC1A}"/>
    <cellStyle name="Normal 173" xfId="44199" xr:uid="{D808353B-54C7-48F7-BBEB-A72C527EFC9A}"/>
    <cellStyle name="Normal 174" xfId="44204" xr:uid="{60BE079F-7210-4925-8BFF-388E72EAECC1}"/>
    <cellStyle name="Normal 175" xfId="44207" xr:uid="{2D7C4967-F3B5-4F4E-B56D-9BACD93A5980}"/>
    <cellStyle name="Normal 176" xfId="44215" xr:uid="{297414C3-C336-4795-9259-32212ABC901B}"/>
    <cellStyle name="Normal 177" xfId="44219" xr:uid="{E4216BFE-3543-4E8F-A9DA-28F63370B240}"/>
    <cellStyle name="Normal 178" xfId="44223" xr:uid="{C79828B4-2A3B-42A5-AF9C-6D2B2085CF53}"/>
    <cellStyle name="Normal 179" xfId="44230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2" xr:uid="{4904EB40-057B-4421-B64E-AAD06AF0CFC9}"/>
    <cellStyle name="Normal 181" xfId="44236" xr:uid="{5F65C23B-645B-462F-9B83-50BF5CA95808}"/>
    <cellStyle name="Normal 182" xfId="44239" xr:uid="{A4CF3740-3365-4C0A-81C8-4A49F5178E3C}"/>
    <cellStyle name="Normal 183" xfId="44248" xr:uid="{BE8CA24E-EE4E-49E1-94AA-EB4833F096C0}"/>
    <cellStyle name="Normal 184" xfId="44255" xr:uid="{6D3136AD-B4B5-480F-95E2-02FA5F0FCAB0}"/>
    <cellStyle name="Normal 185" xfId="44257" xr:uid="{F2D63786-201E-4B16-A962-5AAF2DD25E4F}"/>
    <cellStyle name="Normal 186" xfId="44263" xr:uid="{70E73B39-2D62-43C3-98C6-102049C3DFD9}"/>
    <cellStyle name="Normal 187" xfId="44267" xr:uid="{FCD37B27-F21D-4431-901F-789C88E524DC}"/>
    <cellStyle name="Normal 188" xfId="44269" xr:uid="{ADFD1FBD-13B9-40FE-8E09-C61E5C6F2CAD}"/>
    <cellStyle name="Normal 189" xfId="44271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7" xr:uid="{AD235653-14F2-49E2-875B-7DDDC29FBEBD}"/>
    <cellStyle name="Normal 191" xfId="44284" xr:uid="{DDDCBF94-8DAD-41A6-BAB1-0F8CC5D0F5D6}"/>
    <cellStyle name="Normal 192" xfId="44291" xr:uid="{C001FCFF-3963-470E-9065-5A4D3440E9E8}"/>
    <cellStyle name="Normal 193" xfId="44293" xr:uid="{6550B2CF-7CC5-4881-9BCF-F71ED2A1E3B6}"/>
    <cellStyle name="Normal 194" xfId="44299" xr:uid="{C927FB91-D3D2-42B4-ABBF-B5BFEDFFDEF2}"/>
    <cellStyle name="Normal 195" xfId="44306" xr:uid="{CEE234D0-D8E6-4B6E-BF81-063148512645}"/>
    <cellStyle name="Normal 196" xfId="44307" xr:uid="{65F72E2F-B57F-48E8-944B-04EF423EB043}"/>
    <cellStyle name="Normal 197" xfId="44313" xr:uid="{61278F29-ECD6-4D4C-A36E-116B8451D5B3}"/>
    <cellStyle name="Normal 198" xfId="44315" xr:uid="{70BFA7B2-BDB5-4CAF-BABC-7E1E8F402DEE}"/>
    <cellStyle name="Normal 199" xfId="44318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4" xr:uid="{D2BF1E21-8DA4-48B1-9572-F075D7750A4D}"/>
    <cellStyle name="Normal 2 2" xfId="23" xr:uid="{00000000-0005-0000-0000-0000B3590000}"/>
    <cellStyle name="Normal 2 2 2" xfId="43929" xr:uid="{00000000-0005-0000-0000-0000B4590000}"/>
    <cellStyle name="Normal 2 2 3" xfId="43983" xr:uid="{00000000-0005-0000-0000-0000B5590000}"/>
    <cellStyle name="Normal 2 2 4" xfId="43984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2" xr:uid="{A502FDBD-7EF7-4FE3-A4A5-9087A38103BA}"/>
    <cellStyle name="Normal 201" xfId="44325" xr:uid="{09ACF2CA-992A-4CE5-9134-E4AB5CA2EBAD}"/>
    <cellStyle name="Normal 202" xfId="44327" xr:uid="{58661A7A-7DD9-48F4-B0EB-B31AD33BA502}"/>
    <cellStyle name="Normal 203" xfId="44330" xr:uid="{819A14DC-56CF-4F5C-92C9-1095740990F3}"/>
    <cellStyle name="Normal 204" xfId="44333" xr:uid="{46BFC23F-2199-437C-8BE9-C6714F473D16}"/>
    <cellStyle name="Normal 205" xfId="44339" xr:uid="{D0682782-2B67-4386-8EAB-5085AD38313E}"/>
    <cellStyle name="Normal 206" xfId="44342" xr:uid="{24F08E5B-A9CE-4A5D-8642-F5C11F0A1A45}"/>
    <cellStyle name="Normal 207" xfId="44344" xr:uid="{D1B110A7-F322-490C-93AE-2ACA4F940A53}"/>
    <cellStyle name="Normal 208" xfId="44346" xr:uid="{75CF0ADB-6EB9-4AFC-B8F0-09320999B099}"/>
    <cellStyle name="Normal 209" xfId="44351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7" xr:uid="{96536DD1-ECAD-4804-9DCC-A379A913B95B}"/>
    <cellStyle name="Normal 211" xfId="44362" xr:uid="{90321652-A4ED-44FF-A41B-2A69B52E5F88}"/>
    <cellStyle name="Normal 212" xfId="44367" xr:uid="{2BEA140A-9F13-46C4-90BD-9AF224CDE053}"/>
    <cellStyle name="Normal 213" xfId="44368" xr:uid="{4035E74F-ECC6-48EB-B7AE-12374E3A88E9}"/>
    <cellStyle name="Normal 214" xfId="44373" xr:uid="{826CC59B-881D-4F12-B2EC-C727AB30752A}"/>
    <cellStyle name="Normal 215" xfId="44374" xr:uid="{6ACDA859-6491-42A3-B06D-89B2A4A3DA66}"/>
    <cellStyle name="Normal 216" xfId="44379" xr:uid="{D45D485F-8517-4D9F-AE35-7C1D85838EBB}"/>
    <cellStyle name="Normal 217" xfId="44384" xr:uid="{8F7E07E5-2D56-4A5C-B066-B798B45F8B81}"/>
    <cellStyle name="Normal 218" xfId="44390" xr:uid="{C4B4A316-445A-49B9-8713-B896D4FA2B45}"/>
    <cellStyle name="Normal 219" xfId="44391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5" xr:uid="{8ACE98E0-7E7A-45E0-8AB9-C5BBE9C81B0D}"/>
    <cellStyle name="Normal 221" xfId="44398" xr:uid="{30CEE769-11DF-49B5-B92F-B90D5B554B1F}"/>
    <cellStyle name="Normal 222" xfId="44405" xr:uid="{4B400434-AB5A-477C-936C-E63FCCD60D1A}"/>
    <cellStyle name="Normal 223" xfId="44407" xr:uid="{E32D30D9-DD14-4D65-847B-09E417617869}"/>
    <cellStyle name="Normal 224" xfId="44409" xr:uid="{23F59A82-D07A-435C-86E0-A2E3D82B1250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5" xr:uid="{00000000-0005-0000-0000-0000086A0000}"/>
    <cellStyle name="Normal 3 2" xfId="29" xr:uid="{00000000-0005-0000-0000-0000096A0000}"/>
    <cellStyle name="Normal 3 2 2" xfId="43930" xr:uid="{00000000-0005-0000-0000-00000A6A0000}"/>
    <cellStyle name="Normal 3 3" xfId="43931" xr:uid="{00000000-0005-0000-0000-00000B6A0000}"/>
    <cellStyle name="Normal 3 4" xfId="43986" xr:uid="{00000000-0005-0000-0000-00000C6A0000}"/>
    <cellStyle name="Normal 3 5" xfId="44040" xr:uid="{20DB0DCF-4A20-4692-8AA6-CDE623E55BF8}"/>
    <cellStyle name="Normal 3 8" xfId="43987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70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8" xr:uid="{00000000-0005-0000-0000-0000CD7F0000}"/>
    <cellStyle name="Normal 43 3 31 2 2 2 3 32" xfId="43943" xr:uid="{00000000-0005-0000-0000-0000CE7F0000}"/>
    <cellStyle name="Normal 43 3 31 2 2 2 3 33" xfId="43952" xr:uid="{00000000-0005-0000-0000-0000CF7F0000}"/>
    <cellStyle name="Normal 43 3 31 2 2 2 3 34" xfId="43960" xr:uid="{00000000-0005-0000-0000-0000D07F0000}"/>
    <cellStyle name="Normal 43 3 31 2 2 2 3 35" xfId="43970" xr:uid="{00000000-0005-0000-0000-0000D17F0000}"/>
    <cellStyle name="Normal 43 3 31 2 2 2 3 36" xfId="43995" xr:uid="{00000000-0005-0000-0000-0000D27F0000}"/>
    <cellStyle name="Normal 43 3 31 2 2 2 3 37" xfId="43999" xr:uid="{1088E3D5-5D1E-48FD-9DB5-B6DA8BC13A62}"/>
    <cellStyle name="Normal 43 3 31 2 2 2 3 38" xfId="44004" xr:uid="{35610EB2-1E52-44F9-85E0-89134299ABF9}"/>
    <cellStyle name="Normal 43 3 31 2 2 2 3 39" xfId="44018" xr:uid="{83AE4032-4834-4E84-8A47-AB672DA0645C}"/>
    <cellStyle name="Normal 43 3 31 2 2 2 3 4" xfId="21938" xr:uid="{00000000-0005-0000-0000-0000D37F0000}"/>
    <cellStyle name="Normal 43 3 31 2 2 2 3 40" xfId="44024" xr:uid="{455840A1-5BA5-4754-B85A-5670985E71D6}"/>
    <cellStyle name="Normal 43 3 31 2 2 2 3 41" xfId="44029" xr:uid="{866A0354-B44C-42D3-9B96-C5FDE8B22529}"/>
    <cellStyle name="Normal 43 3 31 2 2 2 3 42" xfId="44032" xr:uid="{14017933-BC17-48CA-8822-F6AAED8B314E}"/>
    <cellStyle name="Normal 43 3 31 2 2 2 3 43" xfId="44035" xr:uid="{060E943C-8971-44CC-9272-A5F1A3AAB128}"/>
    <cellStyle name="Normal 43 3 31 2 2 2 3 44" xfId="44038" xr:uid="{CA7339D3-0D70-471A-B259-A0A9233AA329}"/>
    <cellStyle name="Normal 43 3 31 2 2 2 3 45" xfId="44045" xr:uid="{C24FE9C4-452C-4F25-9199-F2D995CE13F7}"/>
    <cellStyle name="Normal 43 3 31 2 2 2 3 46" xfId="44049" xr:uid="{ED189D08-C012-4200-83BE-7E4F192B6274}"/>
    <cellStyle name="Normal 43 3 31 2 2 2 3 47" xfId="44052" xr:uid="{5C78A1DD-A5D1-4BA7-88A9-4AF8BD3170D5}"/>
    <cellStyle name="Normal 43 3 31 2 2 2 3 48" xfId="44065" xr:uid="{1A83243B-8DC5-4414-B470-7964F871E68C}"/>
    <cellStyle name="Normal 43 3 31 2 2 2 3 49" xfId="44069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6" xr:uid="{9DC33905-3910-48EC-914C-5971096578E5}"/>
    <cellStyle name="Normal 43 3 31 2 2 2 3 51" xfId="44080" xr:uid="{586D2B27-F633-41EC-A929-878F40B4B501}"/>
    <cellStyle name="Normal 43 3 31 2 2 2 3 52" xfId="44089" xr:uid="{F014FB14-69F6-41EB-AEC9-A6ED6C2E12E1}"/>
    <cellStyle name="Normal 43 3 31 2 2 2 3 53" xfId="44098" xr:uid="{6597DFF4-B17E-47B3-8823-58EC4D7C3F46}"/>
    <cellStyle name="Normal 43 3 31 2 2 2 3 54" xfId="44107" xr:uid="{7A0C55C8-16CE-4CD0-8B40-7E5676ABAD10}"/>
    <cellStyle name="Normal 43 3 31 2 2 2 3 55" xfId="44112" xr:uid="{307BA3E8-A68E-41D9-975D-38DF6DE33EAF}"/>
    <cellStyle name="Normal 43 3 31 2 2 2 3 56" xfId="44119" xr:uid="{0B57F732-FFC4-48F7-891E-A5ABC24544FD}"/>
    <cellStyle name="Normal 43 3 31 2 2 2 3 57" xfId="44127" xr:uid="{61C8B17E-9520-4C0A-9056-F3F833C3AE42}"/>
    <cellStyle name="Normal 43 3 31 2 2 2 3 58" xfId="44135" xr:uid="{36456B20-A295-4590-8B09-6BDBE4DC6564}"/>
    <cellStyle name="Normal 43 3 31 2 2 2 3 59" xfId="44140" xr:uid="{523AF30A-C602-4FF8-AB27-16A2048207DC}"/>
    <cellStyle name="Normal 43 3 31 2 2 2 3 6" xfId="35052" xr:uid="{00000000-0005-0000-0000-0000E57F0000}"/>
    <cellStyle name="Normal 43 3 31 2 2 2 3 60" xfId="44149" xr:uid="{D3527CD3-846A-4538-B54C-2403D275B059}"/>
    <cellStyle name="Normal 43 3 31 2 2 2 3 61" xfId="44155" xr:uid="{8F1C30FF-E7E1-44E1-AA40-35A3EA4F297B}"/>
    <cellStyle name="Normal 43 3 31 2 2 2 3 62" xfId="44164" xr:uid="{9111C16D-F2B1-4659-B898-E0715D596F8B}"/>
    <cellStyle name="Normal 43 3 31 2 2 2 3 63" xfId="44180" xr:uid="{40FDB92D-52E6-4AB5-BEE5-ED71513600FF}"/>
    <cellStyle name="Normal 43 3 31 2 2 2 3 64" xfId="44188" xr:uid="{85569BFD-B88F-4E97-9787-DC805A126F8E}"/>
    <cellStyle name="Normal 43 3 31 2 2 2 3 65" xfId="44195" xr:uid="{901AD84A-2E96-472F-A50F-9815310EBE47}"/>
    <cellStyle name="Normal 43 3 31 2 2 2 3 66" xfId="44211" xr:uid="{F03CA695-D94D-425B-9453-FEA28D7E79B6}"/>
    <cellStyle name="Normal 43 3 31 2 2 2 3 67" xfId="44217" xr:uid="{6CE8E036-0E36-4A39-A85F-4A330DF7C759}"/>
    <cellStyle name="Normal 43 3 31 2 2 2 3 68" xfId="44221" xr:uid="{A409F647-5800-4E22-B5BA-6BA2045F76FA}"/>
    <cellStyle name="Normal 43 3 31 2 2 2 3 69" xfId="44226" xr:uid="{45BD7035-9EBD-4A5E-888D-4CDFCE755F8D}"/>
    <cellStyle name="Normal 43 3 31 2 2 2 3 7" xfId="35056" xr:uid="{00000000-0005-0000-0000-0000E67F0000}"/>
    <cellStyle name="Normal 43 3 31 2 2 2 3 70" xfId="44234" xr:uid="{47203B4F-CF18-43F0-B5FB-DC6FACDA907D}"/>
    <cellStyle name="Normal 43 3 31 2 2 2 3 71" xfId="44244" xr:uid="{F0964A6A-DD65-4B78-9B2B-5DED0563E190}"/>
    <cellStyle name="Normal 43 3 31 2 2 2 3 72" xfId="44251" xr:uid="{9960806F-3DAB-4715-A44A-D01146F65B27}"/>
    <cellStyle name="Normal 43 3 31 2 2 2 3 73" xfId="44259" xr:uid="{D4694812-8B7E-42EC-99A1-5C3D8960EDE7}"/>
    <cellStyle name="Normal 43 3 31 2 2 2 3 74" xfId="44273" xr:uid="{02521CA5-001D-48FD-9039-DA76BC0C6D5B}"/>
    <cellStyle name="Normal 43 3 31 2 2 2 3 75" xfId="44280" xr:uid="{704DD399-2B79-4E17-8A9A-5C0A01BBD572}"/>
    <cellStyle name="Normal 43 3 31 2 2 2 3 76" xfId="44287" xr:uid="{1797C75E-E81E-4BAC-9DBA-428B5D05C1EB}"/>
    <cellStyle name="Normal 43 3 31 2 2 2 3 77" xfId="44295" xr:uid="{9E826B78-7EEE-40FE-A1E8-B41D1F6B9E0F}"/>
    <cellStyle name="Normal 43 3 31 2 2 2 3 78" xfId="44302" xr:uid="{0E831564-D9A2-4295-A956-D5BEFF4AF183}"/>
    <cellStyle name="Normal 43 3 31 2 2 2 3 79" xfId="44309" xr:uid="{1056AA0E-1DB3-48FA-8136-6425DA82F93F}"/>
    <cellStyle name="Normal 43 3 31 2 2 2 3 8" xfId="35064" xr:uid="{00000000-0005-0000-0000-0000E77F0000}"/>
    <cellStyle name="Normal 43 3 31 2 2 2 3 80" xfId="44321" xr:uid="{4EA8AA33-E579-4FAB-8DD0-BBBE190A3D49}"/>
    <cellStyle name="Normal 43 3 31 2 2 2 3 81" xfId="44329" xr:uid="{F6D2097E-0319-4D55-85C2-0204185DACD2}"/>
    <cellStyle name="Normal 43 3 31 2 2 2 3 82" xfId="44335" xr:uid="{21727B06-27C3-4C5F-B9C2-90BB1EC03C99}"/>
    <cellStyle name="Normal 43 3 31 2 2 2 3 83" xfId="44348" xr:uid="{95ACA02E-F37F-4F98-A49B-99669B010558}"/>
    <cellStyle name="Normal 43 3 31 2 2 2 3 84" xfId="44353" xr:uid="{197B2C7C-5964-48BD-8696-B6A6EEDC34C3}"/>
    <cellStyle name="Normal 43 3 31 2 2 2 3 85" xfId="44364" xr:uid="{4C026B95-E62C-43E4-884F-3D97659AB63F}"/>
    <cellStyle name="Normal 43 3 31 2 2 2 3 86" xfId="44370" xr:uid="{A2582FCE-530E-4BD1-8C3A-FCDCA1A0CDA3}"/>
    <cellStyle name="Normal 43 3 31 2 2 2 3 87" xfId="44376" xr:uid="{0FA32255-B527-4038-B56A-83B36217C0BA}"/>
    <cellStyle name="Normal 43 3 31 2 2 2 3 88" xfId="44381" xr:uid="{CA7F317F-A14A-44B0-A681-09356B64EC3C}"/>
    <cellStyle name="Normal 43 3 31 2 2 2 3 89" xfId="44387" xr:uid="{1EB010B1-65C0-41B1-81DA-E643F15815F0}"/>
    <cellStyle name="Normal 43 3 31 2 2 2 3 9" xfId="35080" xr:uid="{00000000-0005-0000-0000-0000E87F0000}"/>
    <cellStyle name="Normal 43 3 31 2 2 2 3 90" xfId="44393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1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9" xr:uid="{00000000-0005-0000-0000-000063A10000}"/>
    <cellStyle name="Normal 73 2 2" xfId="44242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8" xr:uid="{00000000-0005-0000-0000-00006BA10000}"/>
    <cellStyle name="Normal 8 3" xfId="43989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" xfId="43925" xr:uid="{00000000-0005-0000-0000-000096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5" xr:uid="{1A4DAD5A-EBDA-4728-8FCD-423192CF94E0}"/>
    <cellStyle name="Normal_Estadisticas 2019_1" xfId="43935" xr:uid="{00000000-0005-0000-0000-000099AB0000}"/>
    <cellStyle name="Normal_Estadisticas 2019_3" xfId="44026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6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1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2" xr:uid="{A43A4A07-29FE-4390-AC34-E2C59CE099BF}"/>
    <cellStyle name="Porcentaje 20" xfId="43891" xr:uid="{00000000-0005-0000-0000-0000CFAB0000}"/>
    <cellStyle name="Porcentaje 21" xfId="43934" xr:uid="{00000000-0005-0000-0000-0000D0AB0000}"/>
    <cellStyle name="Porcentaje 22" xfId="43946" xr:uid="{00000000-0005-0000-0000-0000D1AB0000}"/>
    <cellStyle name="Porcentaje 23" xfId="43955" xr:uid="{00000000-0005-0000-0000-0000D2AB0000}"/>
    <cellStyle name="Porcentaje 24" xfId="43963" xr:uid="{00000000-0005-0000-0000-0000D3AB0000}"/>
    <cellStyle name="Porcentaje 25" xfId="43966" xr:uid="{00000000-0005-0000-0000-0000D4AB0000}"/>
    <cellStyle name="Porcentaje 26" xfId="44001" xr:uid="{FA4CF980-1F1B-4F47-BED3-6F5F7B25DDB7}"/>
    <cellStyle name="Porcentaje 27" xfId="44008" xr:uid="{A9F0964A-8C93-426D-8D5B-4A36E5BD2523}"/>
    <cellStyle name="Porcentaje 28" xfId="44012" xr:uid="{BAFB435A-26EE-4609-973C-A81BD0E558C7}"/>
    <cellStyle name="Porcentaje 29" xfId="44021" xr:uid="{8EFB37DA-9781-40FF-AB41-59709CA0B6A7}"/>
    <cellStyle name="Porcentaje 29 2" xfId="44160" xr:uid="{7907F10A-8E5C-47EE-BF25-3663C6D2F7EE}"/>
    <cellStyle name="Porcentaje 29 3" xfId="44176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5" xr:uid="{05ACBE05-2787-41D4-8B30-49CBF11BB4DE}"/>
    <cellStyle name="Porcentaje 31" xfId="44061" xr:uid="{1BB609F6-C9DD-4B79-BFFF-72172CE582B2}"/>
    <cellStyle name="Porcentaje 32" xfId="44084" xr:uid="{3186F4A5-8F0F-4C88-A4E0-94059FCA4F99}"/>
    <cellStyle name="Porcentaje 33" xfId="44101" xr:uid="{C03B4997-3881-4E14-93EF-A578C7D8330C}"/>
    <cellStyle name="Porcentaje 34" xfId="44104" xr:uid="{61EE9BD2-317B-498A-A289-575A6997CA51}"/>
    <cellStyle name="Porcentaje 35" xfId="44114" xr:uid="{B10A5494-C28A-4F97-8A31-FBD99020BA75}"/>
    <cellStyle name="Porcentaje 36" xfId="44121" xr:uid="{09E1CB72-D610-4CF6-A581-2BE6A3344155}"/>
    <cellStyle name="Porcentaje 37" xfId="44123" xr:uid="{E5C94536-FA9D-4D80-A10B-44C2A36FE1BC}"/>
    <cellStyle name="Porcentaje 38" xfId="44132" xr:uid="{094C6E54-3117-49E0-B026-336ED4C0BD89}"/>
    <cellStyle name="Porcentaje 39" xfId="44142" xr:uid="{09855E88-C00D-412B-8476-76252C41B659}"/>
    <cellStyle name="Porcentaje 4" xfId="47" xr:uid="{00000000-0005-0000-0000-0000DAAB0000}"/>
    <cellStyle name="Porcentaje 40" xfId="44147" xr:uid="{14665B04-BA9A-49FF-8426-9DE1BF4662E4}"/>
    <cellStyle name="Porcentaje 41" xfId="44152" xr:uid="{68880E49-516E-42C3-B547-8D3AC08C7FEC}"/>
    <cellStyle name="Porcentaje 42" xfId="44167" xr:uid="{F7965A50-C76A-4E43-BA02-6153F0B90AB5}"/>
    <cellStyle name="Porcentaje 43" xfId="44182" xr:uid="{01C46D6D-A2A6-4969-A274-144D9D655B85}"/>
    <cellStyle name="Porcentaje 44" xfId="44191" xr:uid="{9284C30F-3B44-44D6-B4EA-A9077F727C34}"/>
    <cellStyle name="Porcentaje 45" xfId="44200" xr:uid="{B387CDF7-D604-4331-9BF4-70049B0ED816}"/>
    <cellStyle name="Porcentaje 46" xfId="44206" xr:uid="{DAB7FB19-6390-452A-B22F-496D2845451F}"/>
    <cellStyle name="Porcentaje 47" xfId="44209" xr:uid="{BF79DBD9-348C-4272-9870-54B83BF13005}"/>
    <cellStyle name="Porcentaje 48" xfId="44228" xr:uid="{E02EE8D0-D521-4214-9475-373FB1B1C021}"/>
    <cellStyle name="Porcentaje 49" xfId="44237" xr:uid="{3DE3DA03-55FA-40EE-9293-90DC7CB0197A}"/>
    <cellStyle name="Porcentaje 5" xfId="89" xr:uid="{00000000-0005-0000-0000-0000DBAB0000}"/>
    <cellStyle name="Porcentaje 50" xfId="44246" xr:uid="{5809F373-4E92-4C99-97F9-80F612639672}"/>
    <cellStyle name="Porcentaje 51" xfId="44253" xr:uid="{9D789FD2-22A2-4450-8EF9-A0571F6655FE}"/>
    <cellStyle name="Porcentaje 52" xfId="44261" xr:uid="{85DB62D7-1F45-41C6-AF64-AB0BF9384A30}"/>
    <cellStyle name="Porcentaje 53" xfId="44265" xr:uid="{953D0A42-FBAE-4725-AC4E-EFC54EE0C474}"/>
    <cellStyle name="Porcentaje 54" xfId="44275" xr:uid="{920266CC-0A0F-45B4-B0FF-66A6830D24FD}"/>
    <cellStyle name="Porcentaje 55" xfId="44282" xr:uid="{A9DAD442-4A5F-4EF5-9F77-A09C19DFDF32}"/>
    <cellStyle name="Porcentaje 56" xfId="44289" xr:uid="{86635075-AC25-40B8-A32C-148C4221EA0E}"/>
    <cellStyle name="Porcentaje 57" xfId="44297" xr:uid="{49B35DEF-CCF6-47DE-AC7F-D4CF34B79704}"/>
    <cellStyle name="Porcentaje 58" xfId="44304" xr:uid="{4172AB62-34F3-4E98-9E98-DFCB8FF8D7D7}"/>
    <cellStyle name="Porcentaje 59" xfId="44311" xr:uid="{2DACD9E8-BF45-4CAE-82D7-3FA1277633E1}"/>
    <cellStyle name="Porcentaje 6" xfId="165" xr:uid="{00000000-0005-0000-0000-0000DCAB0000}"/>
    <cellStyle name="Porcentaje 6 2" xfId="43973" xr:uid="{00000000-0005-0000-0000-0000DDAB0000}"/>
    <cellStyle name="Porcentaje 60" xfId="44316" xr:uid="{CBA2CD2D-42DE-4904-9A81-D58956DDA709}"/>
    <cellStyle name="Porcentaje 61" xfId="44323" xr:uid="{6FFE9E17-B4CE-4985-B524-17FAE61475BD}"/>
    <cellStyle name="Porcentaje 62" xfId="44331" xr:uid="{7B5F0FAA-A3A6-414E-B7D3-00525C1F95AF}"/>
    <cellStyle name="Porcentaje 63" xfId="44336" xr:uid="{16AA1828-66ED-470D-908E-256151693901}"/>
    <cellStyle name="Porcentaje 64" xfId="44340" xr:uid="{4DB022EA-6A30-427C-952A-0F8888FD0988}"/>
    <cellStyle name="Porcentaje 65" xfId="44349" xr:uid="{14F76C5E-E900-4BAC-B5E7-8BC1F679E30F}"/>
    <cellStyle name="Porcentaje 66" xfId="44354" xr:uid="{735A26C7-3333-47FA-93E8-A213177D3B6B}"/>
    <cellStyle name="Porcentaje 67" xfId="44359" xr:uid="{D42D953E-C30F-42CA-B6D6-64DB9969B5F6}"/>
    <cellStyle name="Porcentaje 68" xfId="44365" xr:uid="{D09879FB-8D21-461A-B287-8DE1494C9783}"/>
    <cellStyle name="Porcentaje 69" xfId="44371" xr:uid="{A691029B-5D73-4CCE-A64A-68C2479E1560}"/>
    <cellStyle name="Porcentaje 7" xfId="305" xr:uid="{00000000-0005-0000-0000-0000DEAB0000}"/>
    <cellStyle name="Porcentaje 70" xfId="44377" xr:uid="{7BE92A54-FCC9-4100-821A-06C75C5B494F}"/>
    <cellStyle name="Porcentaje 71" xfId="44382" xr:uid="{2F2C5310-BA4D-4669-BF82-055B0406618A}"/>
    <cellStyle name="Porcentaje 72" xfId="44388" xr:uid="{3A584846-076A-407D-9673-ACFC11A09A07}"/>
    <cellStyle name="Porcentaje 73" xfId="44396" xr:uid="{BCBD6825-6694-4A52-B2D6-7A151D9E3A80}"/>
    <cellStyle name="Porcentaje 74" xfId="44403" xr:uid="{A0D3757E-4B70-400B-867D-2013650973E9}"/>
    <cellStyle name="Porcentaje 75" xfId="44408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90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2025'!$C$100:$C$106</c:f>
              <c:numCache>
                <c:formatCode>General</c:formatCode>
                <c:ptCount val="7"/>
                <c:pt idx="0">
                  <c:v>13</c:v>
                </c:pt>
                <c:pt idx="1">
                  <c:v>30</c:v>
                </c:pt>
                <c:pt idx="2">
                  <c:v>19</c:v>
                </c:pt>
                <c:pt idx="3">
                  <c:v>54</c:v>
                </c:pt>
                <c:pt idx="4">
                  <c:v>39</c:v>
                </c:pt>
                <c:pt idx="5">
                  <c:v>109</c:v>
                </c:pt>
                <c:pt idx="6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2025'!$C$114:$C$120</c:f>
              <c:numCache>
                <c:formatCode>General</c:formatCode>
                <c:ptCount val="7"/>
                <c:pt idx="0">
                  <c:v>138</c:v>
                </c:pt>
                <c:pt idx="1">
                  <c:v>161</c:v>
                </c:pt>
                <c:pt idx="2">
                  <c:v>181</c:v>
                </c:pt>
                <c:pt idx="3">
                  <c:v>137</c:v>
                </c:pt>
                <c:pt idx="4">
                  <c:v>340</c:v>
                </c:pt>
                <c:pt idx="5">
                  <c:v>357</c:v>
                </c:pt>
                <c:pt idx="6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2025'!$B$125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2025'!$C$128:$C$134</c:f>
              <c:numCache>
                <c:formatCode>General</c:formatCode>
                <c:ptCount val="7"/>
                <c:pt idx="0">
                  <c:v>299</c:v>
                </c:pt>
                <c:pt idx="1">
                  <c:v>1113</c:v>
                </c:pt>
                <c:pt idx="2">
                  <c:v>95</c:v>
                </c:pt>
                <c:pt idx="3">
                  <c:v>109</c:v>
                </c:pt>
                <c:pt idx="4">
                  <c:v>38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2025'!$B$156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2025'!$C$159:$C$162</c:f>
              <c:numCache>
                <c:formatCode>General</c:formatCode>
                <c:ptCount val="4"/>
                <c:pt idx="0">
                  <c:v>919</c:v>
                </c:pt>
                <c:pt idx="1">
                  <c:v>638</c:v>
                </c:pt>
                <c:pt idx="2">
                  <c:v>97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Febrero 2025/2024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2025'!$E$243</c:f>
              <c:strCache>
                <c:ptCount val="1"/>
                <c:pt idx="0">
                  <c:v>Formalizados Febrero 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2025'!$E$245:$E$246</c:f>
              <c:numCache>
                <c:formatCode>#,##0\ \ \ ;[Red]\(#,##0\)</c:formatCode>
                <c:ptCount val="2"/>
                <c:pt idx="0">
                  <c:v>597</c:v>
                </c:pt>
                <c:pt idx="1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2025'!$C$243:$D$243</c:f>
              <c:strCache>
                <c:ptCount val="1"/>
                <c:pt idx="0">
                  <c:v>Formalizados Febrero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2025'!$C$245:$C$246</c:f>
              <c:numCache>
                <c:formatCode>#,##0\ \ \ ;[Red]\(#,##0\)</c:formatCode>
                <c:ptCount val="2"/>
                <c:pt idx="0">
                  <c:v>644</c:v>
                </c:pt>
                <c:pt idx="1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Febrero 2025/2024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2025'!$E$243:$G$243</c:f>
              <c:strCache>
                <c:ptCount val="1"/>
                <c:pt idx="0">
                  <c:v>Formalizados Febrero 2024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2025'!$F$245:$F$246</c:f>
              <c:numCache>
                <c:formatCode>"¢"#,##0.00\ \ ;[Red]\("¢"#,##0.00\)</c:formatCode>
                <c:ptCount val="2"/>
                <c:pt idx="0">
                  <c:v>8.49</c:v>
                </c:pt>
                <c:pt idx="1">
                  <c:v>19.13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2025'!$C$243:$D$243</c:f>
              <c:strCache>
                <c:ptCount val="1"/>
                <c:pt idx="0">
                  <c:v>Formalizados Febrero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2025'!$D$245:$D$246</c:f>
              <c:numCache>
                <c:formatCode>"¢"#,##0.00\ \ ;[Red]\("¢"#,##0.00\)</c:formatCode>
                <c:ptCount val="2"/>
                <c:pt idx="0">
                  <c:v>9.2149270186335404</c:v>
                </c:pt>
                <c:pt idx="1">
                  <c:v>19.584150916484848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2025'!$B$315:$B$326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2025'!$C$315:$C$326</c:f>
              <c:numCache>
                <c:formatCode>General</c:formatCode>
                <c:ptCount val="2"/>
                <c:pt idx="0">
                  <c:v>10</c:v>
                </c:pt>
                <c:pt idx="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2025'!$C$340:$E$340</c:f>
              <c:strCache>
                <c:ptCount val="1"/>
                <c:pt idx="0">
                  <c:v>EMITIDOS DEL 01/01/2025 AL 28/02/2025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2025'!$C$342:$C$365</c:f>
              <c:numCache>
                <c:formatCode>0</c:formatCode>
                <c:ptCount val="24"/>
                <c:pt idx="0">
                  <c:v>110</c:v>
                </c:pt>
                <c:pt idx="1">
                  <c:v>215</c:v>
                </c:pt>
                <c:pt idx="2">
                  <c:v>4</c:v>
                </c:pt>
                <c:pt idx="3">
                  <c:v>14</c:v>
                </c:pt>
                <c:pt idx="4">
                  <c:v>9</c:v>
                </c:pt>
                <c:pt idx="5">
                  <c:v>26</c:v>
                </c:pt>
                <c:pt idx="6">
                  <c:v>75</c:v>
                </c:pt>
                <c:pt idx="7">
                  <c:v>21</c:v>
                </c:pt>
                <c:pt idx="8">
                  <c:v>3</c:v>
                </c:pt>
                <c:pt idx="9">
                  <c:v>33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3</c:v>
                </c:pt>
                <c:pt idx="14">
                  <c:v>9</c:v>
                </c:pt>
                <c:pt idx="15">
                  <c:v>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32</c:v>
                </c:pt>
                <c:pt idx="2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2025'!$K$340:$L$340</c:f>
              <c:strCache>
                <c:ptCount val="1"/>
                <c:pt idx="0">
                  <c:v>EMITIDOS DEL 01/01/2024 AL 29/02/2024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2025'!$K$342:$K$365</c:f>
              <c:numCache>
                <c:formatCode>0</c:formatCode>
                <c:ptCount val="24"/>
                <c:pt idx="0">
                  <c:v>277</c:v>
                </c:pt>
                <c:pt idx="1">
                  <c:v>73</c:v>
                </c:pt>
                <c:pt idx="2">
                  <c:v>13</c:v>
                </c:pt>
                <c:pt idx="3">
                  <c:v>2</c:v>
                </c:pt>
                <c:pt idx="4">
                  <c:v>1</c:v>
                </c:pt>
                <c:pt idx="5">
                  <c:v>30</c:v>
                </c:pt>
                <c:pt idx="6">
                  <c:v>19</c:v>
                </c:pt>
                <c:pt idx="7">
                  <c:v>4</c:v>
                </c:pt>
                <c:pt idx="8">
                  <c:v>36</c:v>
                </c:pt>
                <c:pt idx="9">
                  <c:v>8</c:v>
                </c:pt>
                <c:pt idx="10">
                  <c:v>24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0</c:v>
                </c:pt>
                <c:pt idx="15">
                  <c:v>6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Febrero</a:t>
            </a:r>
            <a:r>
              <a:rPr lang="es-CR" sz="1100">
                <a:solidFill>
                  <a:schemeClr val="tx1"/>
                </a:solidFill>
              </a:rPr>
              <a:t> 2025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2025'!$D$489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2025'!$B$490:$B$495</c:f>
              <c:strCache>
                <c:ptCount val="6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Total</c:v>
                </c:pt>
              </c:strCache>
            </c:strRef>
          </c:cat>
          <c:val>
            <c:numRef>
              <c:f>'Estadisticas 2025'!$D$490:$D$495</c:f>
              <c:numCache>
                <c:formatCode>"₡"#,##0.00</c:formatCode>
                <c:ptCount val="6"/>
                <c:pt idx="0">
                  <c:v>699.55</c:v>
                </c:pt>
                <c:pt idx="1">
                  <c:v>1715.796</c:v>
                </c:pt>
                <c:pt idx="2">
                  <c:v>319.274</c:v>
                </c:pt>
                <c:pt idx="3">
                  <c:v>103.89400000000001</c:v>
                </c:pt>
                <c:pt idx="4">
                  <c:v>171.14699999999999</c:v>
                </c:pt>
                <c:pt idx="5">
                  <c:v>3009.6610000000001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Febrero 2025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2025'!$J$489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2025'!$H$490:$H$495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2025'!$J$490:$J$495</c:f>
              <c:numCache>
                <c:formatCode>#,##0.00</c:formatCode>
                <c:ptCount val="6"/>
                <c:pt idx="0">
                  <c:v>3222.5472284699999</c:v>
                </c:pt>
                <c:pt idx="1">
                  <c:v>632.27954063000016</c:v>
                </c:pt>
                <c:pt idx="2">
                  <c:v>0</c:v>
                </c:pt>
                <c:pt idx="3">
                  <c:v>18.152577879999999</c:v>
                </c:pt>
                <c:pt idx="4">
                  <c:v>78.099306769999998</c:v>
                </c:pt>
                <c:pt idx="5">
                  <c:v>6211.5079429200014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2025'!$B$291:$B$302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2025'!$G$291:$G$294</c:f>
              <c:numCache>
                <c:formatCode>#,##0\ \ \ ;[Red]\(#,##0\)</c:formatCode>
                <c:ptCount val="2"/>
                <c:pt idx="0">
                  <c:v>150</c:v>
                </c:pt>
                <c:pt idx="1">
                  <c:v>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2025'!$F$340:$H$340</c:f>
              <c:strCache>
                <c:ptCount val="1"/>
                <c:pt idx="0">
                  <c:v>FORMALIZADOS DEL 01/01/2025 AL 28/02/2025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2025'!$F$342:$F$365</c:f>
              <c:numCache>
                <c:formatCode>0</c:formatCode>
                <c:ptCount val="24"/>
                <c:pt idx="0">
                  <c:v>389</c:v>
                </c:pt>
                <c:pt idx="1">
                  <c:v>460</c:v>
                </c:pt>
                <c:pt idx="2">
                  <c:v>2</c:v>
                </c:pt>
                <c:pt idx="3">
                  <c:v>50</c:v>
                </c:pt>
                <c:pt idx="4">
                  <c:v>5</c:v>
                </c:pt>
                <c:pt idx="5">
                  <c:v>64</c:v>
                </c:pt>
                <c:pt idx="6">
                  <c:v>151</c:v>
                </c:pt>
                <c:pt idx="7">
                  <c:v>141</c:v>
                </c:pt>
                <c:pt idx="8">
                  <c:v>118</c:v>
                </c:pt>
                <c:pt idx="9">
                  <c:v>53</c:v>
                </c:pt>
                <c:pt idx="10">
                  <c:v>0</c:v>
                </c:pt>
                <c:pt idx="11">
                  <c:v>4</c:v>
                </c:pt>
                <c:pt idx="12">
                  <c:v>10</c:v>
                </c:pt>
                <c:pt idx="13">
                  <c:v>46</c:v>
                </c:pt>
                <c:pt idx="14">
                  <c:v>14</c:v>
                </c:pt>
                <c:pt idx="15">
                  <c:v>48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33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2025'!$M$340:$O$340</c:f>
              <c:strCache>
                <c:ptCount val="1"/>
                <c:pt idx="0">
                  <c:v>FORMALIZADOS DEL 01/01/2024 AL 29/02/2024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2025'!$M$342:$M$365</c:f>
              <c:numCache>
                <c:formatCode>0</c:formatCode>
                <c:ptCount val="24"/>
                <c:pt idx="0">
                  <c:v>435</c:v>
                </c:pt>
                <c:pt idx="1">
                  <c:v>579</c:v>
                </c:pt>
                <c:pt idx="2">
                  <c:v>3</c:v>
                </c:pt>
                <c:pt idx="3">
                  <c:v>18</c:v>
                </c:pt>
                <c:pt idx="4">
                  <c:v>6</c:v>
                </c:pt>
                <c:pt idx="5">
                  <c:v>48</c:v>
                </c:pt>
                <c:pt idx="6">
                  <c:v>82</c:v>
                </c:pt>
                <c:pt idx="7">
                  <c:v>116</c:v>
                </c:pt>
                <c:pt idx="8">
                  <c:v>112</c:v>
                </c:pt>
                <c:pt idx="9">
                  <c:v>51</c:v>
                </c:pt>
                <c:pt idx="10">
                  <c:v>3</c:v>
                </c:pt>
                <c:pt idx="11">
                  <c:v>0</c:v>
                </c:pt>
                <c:pt idx="12">
                  <c:v>16</c:v>
                </c:pt>
                <c:pt idx="13">
                  <c:v>34</c:v>
                </c:pt>
                <c:pt idx="14">
                  <c:v>39</c:v>
                </c:pt>
                <c:pt idx="15">
                  <c:v>44</c:v>
                </c:pt>
                <c:pt idx="16">
                  <c:v>3</c:v>
                </c:pt>
                <c:pt idx="17">
                  <c:v>4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20</c:v>
                </c:pt>
                <c:pt idx="23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2025'!$C$626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9951730-A596-49F5-9159-2B90A9758C3A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2025'!$B$627:$B$640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2025'!$C$627:$C$640</c:f>
              <c:numCache>
                <c:formatCode>General</c:formatCode>
                <c:ptCount val="2"/>
                <c:pt idx="0">
                  <c:v>1511</c:v>
                </c:pt>
                <c:pt idx="1">
                  <c:v>1511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2025'!$X$627:$X$641</c15:f>
                <c15:dlblRangeCache>
                  <c:ptCount val="3"/>
                  <c:pt idx="0">
                    <c:v>8,6%</c:v>
                  </c:pt>
                  <c:pt idx="2">
                    <c:v>91,4%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2025'!$D$626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2025'!$B$627:$B$640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2025'!$D$627:$D$640</c:f>
              <c:numCache>
                <c:formatCode>General</c:formatCode>
                <c:ptCount val="2"/>
                <c:pt idx="0">
                  <c:v>143</c:v>
                </c:pt>
                <c:pt idx="1">
                  <c:v>143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2025'!$Y$627:$Y$641</c15:f>
                <c15:dlblRangeCache>
                  <c:ptCount val="3"/>
                  <c:pt idx="2">
                    <c:v>8,6%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2025'!$C$217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2025'!$B$218:$B$229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2025'!$C$218:$C$229</c:f>
              <c:numCache>
                <c:formatCode>#,##0\ \ \ ;[Red]\(#,##0\)</c:formatCode>
                <c:ptCount val="2"/>
                <c:pt idx="0">
                  <c:v>845</c:v>
                </c:pt>
                <c:pt idx="1">
                  <c:v>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2025'!$C$626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2025'!$B$627:$B$640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2025'!$C$627:$C$640</c:f>
              <c:numCache>
                <c:formatCode>General</c:formatCode>
                <c:ptCount val="2"/>
                <c:pt idx="0">
                  <c:v>1511</c:v>
                </c:pt>
                <c:pt idx="1">
                  <c:v>1511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2025'!$D$626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2025'!$B$627:$B$640</c:f>
              <c:strCache>
                <c:ptCount val="2"/>
                <c:pt idx="0">
                  <c:v>Ene</c:v>
                </c:pt>
                <c:pt idx="1">
                  <c:v>Total</c:v>
                </c:pt>
              </c:strCache>
            </c:strRef>
          </c:cat>
          <c:val>
            <c:numRef>
              <c:f>'Estadisticas 2025'!$D$627:$D$640</c:f>
              <c:numCache>
                <c:formatCode>General</c:formatCode>
                <c:ptCount val="2"/>
                <c:pt idx="0">
                  <c:v>143</c:v>
                </c:pt>
                <c:pt idx="1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2025'!$B$66:$E$66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2025'!$C$69:$C$71</c:f>
              <c:numCache>
                <c:formatCode>General</c:formatCode>
                <c:ptCount val="3"/>
                <c:pt idx="0">
                  <c:v>467</c:v>
                </c:pt>
                <c:pt idx="1">
                  <c:v>474</c:v>
                </c:pt>
                <c:pt idx="2">
                  <c:v>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2025'!$C$141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2025'!$C$142:$C$145</c:f>
              <c:numCache>
                <c:formatCode>General</c:formatCode>
                <c:ptCount val="4"/>
                <c:pt idx="0">
                  <c:v>1019</c:v>
                </c:pt>
                <c:pt idx="1">
                  <c:v>21</c:v>
                </c:pt>
                <c:pt idx="2">
                  <c:v>614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2025'!$B$11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2025'!$C$14:$C$20</c:f>
              <c:numCache>
                <c:formatCode>0</c:formatCode>
                <c:ptCount val="7"/>
                <c:pt idx="0">
                  <c:v>635</c:v>
                </c:pt>
                <c:pt idx="1">
                  <c:v>253</c:v>
                </c:pt>
                <c:pt idx="2">
                  <c:v>131</c:v>
                </c:pt>
                <c:pt idx="3">
                  <c:v>171</c:v>
                </c:pt>
                <c:pt idx="4">
                  <c:v>74</c:v>
                </c:pt>
                <c:pt idx="5">
                  <c:v>65</c:v>
                </c:pt>
                <c:pt idx="6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2025'!$B$49:$E$49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2025'!$B$52:$B$58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2025'!$C$52:$C$58</c:f>
              <c:numCache>
                <c:formatCode>0</c:formatCode>
                <c:ptCount val="7"/>
                <c:pt idx="0">
                  <c:v>899</c:v>
                </c:pt>
                <c:pt idx="1">
                  <c:v>288</c:v>
                </c:pt>
                <c:pt idx="2">
                  <c:v>131</c:v>
                </c:pt>
                <c:pt idx="3">
                  <c:v>171</c:v>
                </c:pt>
                <c:pt idx="4">
                  <c:v>74</c:v>
                </c:pt>
                <c:pt idx="5">
                  <c:v>65</c:v>
                </c:pt>
                <c:pt idx="6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2025'!$B$29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2025'!$C$32:$C$35</c:f>
              <c:numCache>
                <c:formatCode>General</c:formatCode>
                <c:ptCount val="3"/>
                <c:pt idx="0">
                  <c:v>264</c:v>
                </c:pt>
                <c:pt idx="1">
                  <c:v>35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2025'!$D$271:$D$273</c:f>
              <c:numCache>
                <c:formatCode>"¢"#,##0.00\ \ ;[Red]\("¢"#,##0.00\)</c:formatCode>
                <c:ptCount val="3"/>
                <c:pt idx="0">
                  <c:v>20.191315896266666</c:v>
                </c:pt>
                <c:pt idx="1">
                  <c:v>15.256976679999999</c:v>
                </c:pt>
                <c:pt idx="2">
                  <c:v>19.165025632272723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2025'!$C$86:$C$92</c:f>
              <c:numCache>
                <c:formatCode>General</c:formatCode>
                <c:ptCount val="7"/>
                <c:pt idx="0">
                  <c:v>125</c:v>
                </c:pt>
                <c:pt idx="1">
                  <c:v>131</c:v>
                </c:pt>
                <c:pt idx="2">
                  <c:v>162</c:v>
                </c:pt>
                <c:pt idx="3">
                  <c:v>83</c:v>
                </c:pt>
                <c:pt idx="4">
                  <c:v>301</c:v>
                </c:pt>
                <c:pt idx="5">
                  <c:v>248</c:v>
                </c:pt>
                <c:pt idx="6">
                  <c:v>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516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497</xdr:row>
      <xdr:rowOff>142875</xdr:rowOff>
    </xdr:from>
    <xdr:to>
      <xdr:col>6</xdr:col>
      <xdr:colOff>38100</xdr:colOff>
      <xdr:row>513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497</xdr:row>
      <xdr:rowOff>130176</xdr:rowOff>
    </xdr:from>
    <xdr:to>
      <xdr:col>11</xdr:col>
      <xdr:colOff>700881</xdr:colOff>
      <xdr:row>513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624</xdr:row>
      <xdr:rowOff>6239</xdr:rowOff>
    </xdr:from>
    <xdr:to>
      <xdr:col>4</xdr:col>
      <xdr:colOff>0</xdr:colOff>
      <xdr:row>652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834571</xdr:colOff>
      <xdr:row>620</xdr:row>
      <xdr:rowOff>156935</xdr:rowOff>
    </xdr:from>
    <xdr:to>
      <xdr:col>7</xdr:col>
      <xdr:colOff>907142</xdr:colOff>
      <xdr:row>647</xdr:row>
      <xdr:rowOff>124278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abSelected="1" topLeftCell="A5" zoomScale="80" zoomScaleNormal="80" zoomScaleSheetLayoutView="85" workbookViewId="0">
      <selection activeCell="A32" sqref="A32:XFD57"/>
    </sheetView>
  </sheetViews>
  <sheetFormatPr baseColWidth="10" defaultColWidth="0" defaultRowHeight="13" x14ac:dyDescent="0.3"/>
  <cols>
    <col min="1" max="1" width="1.7265625" style="39" customWidth="1"/>
    <col min="2" max="2" width="101.81640625" style="51" customWidth="1"/>
    <col min="3" max="3" width="0.1796875" style="50" customWidth="1"/>
    <col min="4" max="8" width="11.453125" style="50" hidden="1" customWidth="1"/>
    <col min="9" max="16384" width="11.453125" style="39" hidden="1"/>
  </cols>
  <sheetData>
    <row r="1" spans="2:2" s="157" customFormat="1" ht="15.75" customHeight="1" x14ac:dyDescent="0.25">
      <c r="B1" s="156" t="s">
        <v>0</v>
      </c>
    </row>
    <row r="2" spans="2:2" s="157" customFormat="1" ht="15.75" customHeight="1" x14ac:dyDescent="0.25">
      <c r="B2" s="158" t="s">
        <v>249</v>
      </c>
    </row>
    <row r="3" spans="2:2" s="157" customFormat="1" ht="15.75" customHeight="1" x14ac:dyDescent="0.25">
      <c r="B3" s="158" t="s">
        <v>375</v>
      </c>
    </row>
    <row r="4" spans="2:2" s="157" customFormat="1" ht="15.75" customHeight="1" thickBot="1" x14ac:dyDescent="0.3">
      <c r="B4" s="159"/>
    </row>
    <row r="5" spans="2:2" s="157" customFormat="1" ht="17.25" customHeight="1" thickBot="1" x14ac:dyDescent="0.3">
      <c r="B5" s="160" t="s">
        <v>170</v>
      </c>
    </row>
    <row r="6" spans="2:2" s="157" customFormat="1" thickBot="1" x14ac:dyDescent="0.3">
      <c r="B6" s="159"/>
    </row>
    <row r="7" spans="2:2" s="157" customFormat="1" ht="13.5" thickBot="1" x14ac:dyDescent="0.35">
      <c r="B7" s="123" t="s">
        <v>171</v>
      </c>
    </row>
    <row r="8" spans="2:2" x14ac:dyDescent="0.3">
      <c r="B8" s="120"/>
    </row>
    <row r="9" spans="2:2" x14ac:dyDescent="0.3">
      <c r="B9" s="620" t="s">
        <v>146</v>
      </c>
    </row>
    <row r="10" spans="2:2" x14ac:dyDescent="0.3">
      <c r="B10" s="357" t="s">
        <v>147</v>
      </c>
    </row>
    <row r="11" spans="2:2" x14ac:dyDescent="0.3">
      <c r="B11" s="357" t="s">
        <v>148</v>
      </c>
    </row>
    <row r="12" spans="2:2" x14ac:dyDescent="0.3">
      <c r="B12" s="357" t="s">
        <v>149</v>
      </c>
    </row>
    <row r="13" spans="2:2" x14ac:dyDescent="0.3">
      <c r="B13" s="357" t="s">
        <v>151</v>
      </c>
    </row>
    <row r="14" spans="2:2" x14ac:dyDescent="0.3">
      <c r="B14" s="357" t="s">
        <v>152</v>
      </c>
    </row>
    <row r="15" spans="2:2" x14ac:dyDescent="0.3">
      <c r="B15" s="357" t="s">
        <v>153</v>
      </c>
    </row>
    <row r="16" spans="2:2" x14ac:dyDescent="0.3">
      <c r="B16" s="357" t="s">
        <v>154</v>
      </c>
    </row>
    <row r="17" spans="2:2" x14ac:dyDescent="0.3">
      <c r="B17" s="357" t="s">
        <v>155</v>
      </c>
    </row>
    <row r="18" spans="2:2" x14ac:dyDescent="0.3">
      <c r="B18" s="357" t="s">
        <v>181</v>
      </c>
    </row>
    <row r="19" spans="2:2" x14ac:dyDescent="0.3">
      <c r="B19" s="357" t="s">
        <v>182</v>
      </c>
    </row>
    <row r="20" spans="2:2" x14ac:dyDescent="0.3">
      <c r="B20" s="357" t="s">
        <v>159</v>
      </c>
    </row>
    <row r="21" spans="2:2" x14ac:dyDescent="0.3">
      <c r="B21" s="357" t="s">
        <v>160</v>
      </c>
    </row>
    <row r="22" spans="2:2" x14ac:dyDescent="0.3">
      <c r="B22" s="357" t="s">
        <v>161</v>
      </c>
    </row>
    <row r="23" spans="2:2" x14ac:dyDescent="0.3">
      <c r="B23" s="357" t="s">
        <v>172</v>
      </c>
    </row>
    <row r="24" spans="2:2" x14ac:dyDescent="0.3">
      <c r="B24" s="357" t="s">
        <v>232</v>
      </c>
    </row>
    <row r="25" spans="2:2" x14ac:dyDescent="0.3">
      <c r="B25" s="357" t="s">
        <v>165</v>
      </c>
    </row>
    <row r="26" spans="2:2" x14ac:dyDescent="0.3">
      <c r="B26" s="357" t="s">
        <v>166</v>
      </c>
    </row>
    <row r="27" spans="2:2" x14ac:dyDescent="0.3">
      <c r="B27" s="357" t="s">
        <v>169</v>
      </c>
    </row>
    <row r="28" spans="2:2" x14ac:dyDescent="0.3">
      <c r="B28" s="357" t="s">
        <v>312</v>
      </c>
    </row>
    <row r="29" spans="2:2" x14ac:dyDescent="0.3">
      <c r="B29" s="357" t="s">
        <v>241</v>
      </c>
    </row>
    <row r="30" spans="2:2" x14ac:dyDescent="0.3">
      <c r="B30" s="357" t="s">
        <v>260</v>
      </c>
    </row>
    <row r="31" spans="2:2" x14ac:dyDescent="0.3">
      <c r="B31" s="357" t="s">
        <v>261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2"/>
  <sheetViews>
    <sheetView showGridLines="0" topLeftCell="B1" zoomScale="80" zoomScaleNormal="80" zoomScaleSheetLayoutView="40" workbookViewId="0">
      <selection activeCell="A3" sqref="A3:M3"/>
    </sheetView>
  </sheetViews>
  <sheetFormatPr baseColWidth="10" defaultRowHeight="14.5" x14ac:dyDescent="0.25"/>
  <cols>
    <col min="1" max="1" width="1.453125" style="19" hidden="1" customWidth="1"/>
    <col min="2" max="2" width="29.453125" style="2" customWidth="1"/>
    <col min="3" max="3" width="19" style="368" customWidth="1"/>
    <col min="4" max="4" width="27.7265625" style="368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63" customWidth="1"/>
    <col min="24" max="24" width="35" style="151" customWidth="1"/>
    <col min="25" max="25" width="19.7265625" style="151" customWidth="1"/>
    <col min="26" max="26" width="24.453125" style="151" customWidth="1"/>
    <col min="27" max="27" width="23.453125" style="151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647" t="s">
        <v>0</v>
      </c>
      <c r="B1" s="647"/>
      <c r="C1" s="647"/>
      <c r="D1" s="647"/>
      <c r="E1" s="647"/>
      <c r="F1" s="647"/>
      <c r="G1" s="647"/>
      <c r="H1" s="647"/>
      <c r="I1" s="647"/>
      <c r="J1" s="647"/>
      <c r="K1" s="647"/>
      <c r="L1" s="647"/>
      <c r="M1" s="647"/>
      <c r="N1" s="297"/>
      <c r="O1" s="297"/>
      <c r="Q1" s="298"/>
      <c r="R1" s="298"/>
      <c r="S1" s="298"/>
      <c r="T1" s="298"/>
      <c r="U1" s="298"/>
      <c r="V1" s="298"/>
      <c r="W1" s="299"/>
      <c r="X1" s="300"/>
      <c r="Y1" s="300"/>
      <c r="Z1" s="299"/>
      <c r="AA1" s="300"/>
      <c r="AC1" s="301"/>
    </row>
    <row r="2" spans="1:35" s="2" customFormat="1" ht="18" customHeight="1" x14ac:dyDescent="0.25">
      <c r="A2" s="647" t="s">
        <v>249</v>
      </c>
      <c r="B2" s="647"/>
      <c r="C2" s="647"/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297"/>
      <c r="O2" s="297"/>
      <c r="Q2" s="298"/>
      <c r="R2" s="298"/>
      <c r="S2" s="298"/>
      <c r="T2" s="298"/>
      <c r="U2" s="298"/>
      <c r="V2" s="298"/>
      <c r="W2" s="299"/>
      <c r="X2" s="300"/>
      <c r="Y2" s="300"/>
      <c r="Z2" s="299"/>
      <c r="AA2" s="300"/>
      <c r="AC2" s="301"/>
    </row>
    <row r="3" spans="1:35" s="2" customFormat="1" ht="18" customHeight="1" x14ac:dyDescent="0.25">
      <c r="A3" s="647" t="s">
        <v>375</v>
      </c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7"/>
      <c r="M3" s="647"/>
      <c r="N3" s="297"/>
      <c r="O3" s="297"/>
      <c r="P3" s="298"/>
      <c r="Q3" s="298"/>
      <c r="R3" s="298"/>
      <c r="S3" s="298"/>
      <c r="T3" s="298"/>
      <c r="U3" s="298"/>
      <c r="V3" s="298"/>
      <c r="W3" s="299"/>
      <c r="X3" s="300"/>
      <c r="Y3" s="300"/>
      <c r="Z3" s="299"/>
      <c r="AA3" s="300"/>
      <c r="AC3" s="301"/>
    </row>
    <row r="4" spans="1:35" s="2" customFormat="1" ht="18" customHeight="1" x14ac:dyDescent="0.25">
      <c r="A4" s="647" t="s">
        <v>1</v>
      </c>
      <c r="B4" s="647"/>
      <c r="C4" s="647"/>
      <c r="D4" s="647"/>
      <c r="E4" s="647"/>
      <c r="F4" s="647"/>
      <c r="G4" s="647"/>
      <c r="H4" s="647"/>
      <c r="I4" s="647"/>
      <c r="J4" s="647"/>
      <c r="K4" s="647"/>
      <c r="L4" s="647"/>
      <c r="M4" s="647"/>
      <c r="N4" s="297"/>
      <c r="O4" s="297"/>
      <c r="P4" s="298"/>
      <c r="Q4" s="298"/>
      <c r="R4" s="298"/>
      <c r="S4" s="298"/>
      <c r="T4" s="298"/>
      <c r="U4" s="298"/>
      <c r="V4" s="298"/>
      <c r="W4" s="299"/>
      <c r="X4" s="300"/>
      <c r="Y4" s="300"/>
      <c r="Z4" s="299"/>
      <c r="AA4" s="300"/>
      <c r="AC4" s="301"/>
    </row>
    <row r="5" spans="1:35" x14ac:dyDescent="0.25">
      <c r="A5" s="9"/>
      <c r="B5" s="442"/>
      <c r="E5" s="442"/>
      <c r="F5" s="1"/>
      <c r="I5" s="1"/>
      <c r="J5" s="1"/>
      <c r="K5" s="1"/>
      <c r="L5" s="1"/>
      <c r="M5" s="57"/>
      <c r="N5" s="1"/>
      <c r="O5" s="1"/>
      <c r="P5" s="57"/>
      <c r="Z5" s="163"/>
      <c r="AC5" s="16"/>
    </row>
    <row r="6" spans="1:35" x14ac:dyDescent="0.25">
      <c r="A6" s="9"/>
      <c r="B6" s="442"/>
      <c r="E6" s="442"/>
      <c r="F6" s="1"/>
      <c r="I6" s="1"/>
      <c r="J6" s="1"/>
      <c r="K6" s="1"/>
      <c r="L6" s="1"/>
      <c r="M6" s="57"/>
      <c r="N6" s="1"/>
      <c r="O6" s="1"/>
      <c r="P6" s="57"/>
      <c r="Z6" s="163"/>
      <c r="AC6" s="16"/>
    </row>
    <row r="7" spans="1:35" x14ac:dyDescent="0.25">
      <c r="A7" s="9"/>
      <c r="B7" s="442"/>
      <c r="E7" s="442"/>
      <c r="F7" s="1"/>
      <c r="I7" s="1"/>
      <c r="J7" s="1"/>
      <c r="K7" s="1"/>
      <c r="L7" s="1"/>
      <c r="M7" s="57"/>
      <c r="N7" s="1"/>
      <c r="O7" s="1"/>
      <c r="P7" s="1"/>
      <c r="Z7" s="163"/>
      <c r="AC7" s="16"/>
    </row>
    <row r="8" spans="1:35" x14ac:dyDescent="0.25">
      <c r="A8" s="9"/>
      <c r="B8" s="442"/>
      <c r="E8" s="442"/>
      <c r="F8" s="1"/>
      <c r="I8" s="1"/>
      <c r="J8" s="1"/>
      <c r="K8" s="1"/>
      <c r="L8" s="1"/>
      <c r="M8" s="57"/>
      <c r="N8" s="1"/>
      <c r="O8" s="1"/>
      <c r="P8" s="1"/>
      <c r="Z8" s="163"/>
      <c r="AC8" s="16"/>
    </row>
    <row r="9" spans="1:35" x14ac:dyDescent="0.25">
      <c r="A9" s="9" t="s">
        <v>220</v>
      </c>
      <c r="B9" s="442"/>
      <c r="E9" s="442"/>
      <c r="F9" s="1"/>
      <c r="I9" s="1"/>
      <c r="J9" s="1"/>
      <c r="K9" s="1"/>
      <c r="L9" s="1"/>
      <c r="M9" s="57"/>
      <c r="N9" s="1"/>
      <c r="O9" s="1"/>
      <c r="P9" s="1"/>
      <c r="Z9" s="163"/>
      <c r="AC9" s="16"/>
    </row>
    <row r="10" spans="1:35" ht="15" customHeight="1" x14ac:dyDescent="0.25">
      <c r="A10" s="15"/>
      <c r="Z10" s="163"/>
      <c r="AC10" s="16"/>
    </row>
    <row r="11" spans="1:35" ht="27" customHeight="1" x14ac:dyDescent="0.25">
      <c r="A11" s="26"/>
      <c r="B11" s="648" t="s">
        <v>146</v>
      </c>
      <c r="C11" s="648"/>
      <c r="D11" s="648"/>
      <c r="E11" s="648"/>
      <c r="Y11" s="164"/>
      <c r="Z11" s="163"/>
      <c r="AC11" s="16"/>
    </row>
    <row r="12" spans="1:35" x14ac:dyDescent="0.25">
      <c r="A12" s="15"/>
      <c r="I12" s="3"/>
      <c r="J12" s="3"/>
      <c r="Y12" s="164"/>
      <c r="Z12" s="163"/>
      <c r="AC12" s="16"/>
    </row>
    <row r="13" spans="1:35" ht="15" customHeight="1" x14ac:dyDescent="0.35">
      <c r="A13" s="15"/>
      <c r="B13" s="425" t="s">
        <v>2</v>
      </c>
      <c r="C13" s="369" t="s">
        <v>3</v>
      </c>
      <c r="D13" s="423" t="s">
        <v>97</v>
      </c>
      <c r="E13" s="392"/>
      <c r="F13" s="3"/>
      <c r="G13" s="3"/>
      <c r="K13" s="22"/>
      <c r="M13" s="19"/>
      <c r="O13" s="22"/>
      <c r="P13" s="22"/>
      <c r="U13" s="163"/>
      <c r="V13" s="252" t="s">
        <v>4</v>
      </c>
      <c r="W13" s="252" t="s">
        <v>5</v>
      </c>
      <c r="X13" s="252" t="s">
        <v>43</v>
      </c>
      <c r="Y13" s="165"/>
      <c r="Z13" s="19"/>
      <c r="AA13" s="16"/>
      <c r="AG13" s="108"/>
      <c r="AH13" s="108"/>
      <c r="AI13" s="108"/>
    </row>
    <row r="14" spans="1:35" ht="15" customHeight="1" x14ac:dyDescent="0.35">
      <c r="A14" s="15"/>
      <c r="B14" s="370" t="s">
        <v>209</v>
      </c>
      <c r="C14" s="371">
        <v>635</v>
      </c>
      <c r="D14" s="372">
        <v>6122297000</v>
      </c>
      <c r="E14" s="392"/>
      <c r="F14" s="3"/>
      <c r="G14" s="3"/>
      <c r="K14" s="22"/>
      <c r="M14" s="19"/>
      <c r="N14" s="24"/>
      <c r="O14" s="22"/>
      <c r="P14" s="22"/>
      <c r="U14" s="166">
        <f>W14/W21</f>
        <v>0.46863468634686345</v>
      </c>
      <c r="V14" s="370" t="s">
        <v>209</v>
      </c>
      <c r="W14" s="371">
        <v>635</v>
      </c>
      <c r="X14" s="372">
        <v>6122297000</v>
      </c>
      <c r="Y14" s="255"/>
      <c r="Z14" s="19"/>
      <c r="AA14" s="16"/>
      <c r="AG14" s="109"/>
      <c r="AH14" s="110"/>
      <c r="AI14" s="110"/>
    </row>
    <row r="15" spans="1:35" ht="15" customHeight="1" x14ac:dyDescent="0.35">
      <c r="A15" s="15"/>
      <c r="B15" s="373" t="s">
        <v>210</v>
      </c>
      <c r="C15" s="371">
        <v>253</v>
      </c>
      <c r="D15" s="372">
        <v>2376589000</v>
      </c>
      <c r="E15" s="392"/>
      <c r="F15" s="3"/>
      <c r="G15" s="3"/>
      <c r="K15" s="22"/>
      <c r="M15" s="19"/>
      <c r="O15" s="22"/>
      <c r="P15" s="22"/>
      <c r="U15" s="166">
        <f>W15/W21</f>
        <v>0.18671586715867158</v>
      </c>
      <c r="V15" s="373" t="s">
        <v>210</v>
      </c>
      <c r="W15" s="371">
        <v>253</v>
      </c>
      <c r="X15" s="372">
        <v>2376589000</v>
      </c>
      <c r="Y15" s="255"/>
      <c r="Z15" s="19"/>
      <c r="AA15" s="16"/>
      <c r="AG15" s="109"/>
      <c r="AH15" s="110"/>
      <c r="AI15" s="110"/>
    </row>
    <row r="16" spans="1:35" ht="15" customHeight="1" x14ac:dyDescent="0.35">
      <c r="A16" s="15"/>
      <c r="B16" s="371" t="s">
        <v>211</v>
      </c>
      <c r="C16" s="371">
        <v>131</v>
      </c>
      <c r="D16" s="372">
        <v>1205811000</v>
      </c>
      <c r="E16" s="392"/>
      <c r="F16" s="3"/>
      <c r="G16" s="3"/>
      <c r="K16" s="22"/>
      <c r="M16" s="19"/>
      <c r="O16" s="22"/>
      <c r="P16" s="22"/>
      <c r="U16" s="166">
        <f>W16/W21</f>
        <v>9.6678966789667892E-2</v>
      </c>
      <c r="V16" s="371" t="s">
        <v>211</v>
      </c>
      <c r="W16" s="371">
        <v>131</v>
      </c>
      <c r="X16" s="372">
        <v>1205811000</v>
      </c>
      <c r="Y16" s="255"/>
      <c r="Z16" s="19"/>
      <c r="AA16" s="16"/>
      <c r="AG16" s="109"/>
      <c r="AH16" s="110"/>
      <c r="AI16" s="110"/>
    </row>
    <row r="17" spans="1:26" ht="15" customHeight="1" x14ac:dyDescent="0.25">
      <c r="A17" s="15"/>
      <c r="B17" s="371" t="s">
        <v>212</v>
      </c>
      <c r="C17" s="371">
        <v>171</v>
      </c>
      <c r="D17" s="372">
        <v>1513370000</v>
      </c>
      <c r="E17" s="392"/>
      <c r="F17" s="3"/>
      <c r="G17" s="3"/>
      <c r="K17" s="22"/>
      <c r="M17" s="19"/>
      <c r="O17" s="22"/>
      <c r="P17" s="22"/>
      <c r="U17" s="166">
        <f>W17/W21</f>
        <v>0.12619926199261994</v>
      </c>
      <c r="V17" s="371" t="s">
        <v>212</v>
      </c>
      <c r="W17" s="371">
        <v>171</v>
      </c>
      <c r="X17" s="372">
        <v>1513370000</v>
      </c>
      <c r="Y17" s="255"/>
      <c r="Z17" s="19"/>
    </row>
    <row r="18" spans="1:26" ht="15" customHeight="1" x14ac:dyDescent="0.25">
      <c r="A18" s="15"/>
      <c r="B18" s="371" t="s">
        <v>245</v>
      </c>
      <c r="C18" s="371">
        <v>74</v>
      </c>
      <c r="D18" s="372">
        <v>594222000</v>
      </c>
      <c r="E18" s="392"/>
      <c r="F18" s="3"/>
      <c r="G18" s="3"/>
      <c r="K18" s="22"/>
      <c r="M18" s="19"/>
      <c r="O18" s="22"/>
      <c r="P18" s="22"/>
      <c r="U18" s="166">
        <f>W18/W21</f>
        <v>5.4612546125461257E-2</v>
      </c>
      <c r="V18" s="371" t="s">
        <v>245</v>
      </c>
      <c r="W18" s="371">
        <v>74</v>
      </c>
      <c r="X18" s="372">
        <v>594222000</v>
      </c>
      <c r="Y18" s="255"/>
      <c r="Z18" s="19"/>
    </row>
    <row r="19" spans="1:26" ht="15" customHeight="1" x14ac:dyDescent="0.25">
      <c r="A19" s="15"/>
      <c r="B19" s="371" t="s">
        <v>246</v>
      </c>
      <c r="C19" s="371">
        <v>65</v>
      </c>
      <c r="D19" s="372">
        <v>460094000</v>
      </c>
      <c r="E19" s="392"/>
      <c r="F19" s="3"/>
      <c r="G19" s="3"/>
      <c r="K19" s="22"/>
      <c r="M19" s="19"/>
      <c r="O19" s="22"/>
      <c r="P19" s="22"/>
      <c r="U19" s="166">
        <f>W19/W21</f>
        <v>4.797047970479705E-2</v>
      </c>
      <c r="V19" s="371" t="s">
        <v>246</v>
      </c>
      <c r="W19" s="371">
        <v>65</v>
      </c>
      <c r="X19" s="372">
        <v>460094000</v>
      </c>
      <c r="Y19" s="163"/>
      <c r="Z19" s="19"/>
    </row>
    <row r="20" spans="1:26" ht="15" customHeight="1" x14ac:dyDescent="0.25">
      <c r="A20" s="15"/>
      <c r="B20" s="371" t="s">
        <v>247</v>
      </c>
      <c r="C20" s="371">
        <v>26</v>
      </c>
      <c r="D20" s="372">
        <v>165139000</v>
      </c>
      <c r="E20" s="392"/>
      <c r="F20" s="3"/>
      <c r="G20" s="3"/>
      <c r="K20" s="22"/>
      <c r="M20" s="19"/>
      <c r="O20" s="22"/>
      <c r="P20" s="22"/>
      <c r="U20" s="166">
        <f>W20/W21</f>
        <v>1.9188191881918819E-2</v>
      </c>
      <c r="V20" s="371" t="s">
        <v>247</v>
      </c>
      <c r="W20" s="371">
        <v>26</v>
      </c>
      <c r="X20" s="372">
        <v>165139000</v>
      </c>
      <c r="Z20" s="19"/>
    </row>
    <row r="21" spans="1:26" ht="15" customHeight="1" x14ac:dyDescent="0.25">
      <c r="A21" s="15"/>
      <c r="B21" s="426" t="s">
        <v>6</v>
      </c>
      <c r="C21" s="367">
        <f>SUM(C14:C20)</f>
        <v>1355</v>
      </c>
      <c r="D21" s="424">
        <f>SUM(D14:D20)</f>
        <v>12437522000</v>
      </c>
      <c r="E21" s="392"/>
      <c r="F21" s="3"/>
      <c r="G21" s="3"/>
      <c r="K21" s="22"/>
      <c r="M21" s="19"/>
      <c r="O21" s="58"/>
      <c r="P21" s="58"/>
      <c r="Q21" s="58"/>
      <c r="R21" s="58"/>
      <c r="S21" s="58"/>
      <c r="T21" s="58"/>
      <c r="U21" s="167">
        <f>SUM(U14:U20)</f>
        <v>1.0000000000000002</v>
      </c>
      <c r="V21" s="168"/>
      <c r="W21" s="169">
        <f>SUM(W14:W20)</f>
        <v>1355</v>
      </c>
      <c r="X21" s="170">
        <f>SUM(X14:X20)</f>
        <v>12437522000</v>
      </c>
      <c r="Z21" s="19"/>
    </row>
    <row r="22" spans="1:26" x14ac:dyDescent="0.25">
      <c r="A22" s="15"/>
      <c r="B22" s="551" t="s">
        <v>279</v>
      </c>
      <c r="I22" s="3"/>
      <c r="J22" s="3"/>
      <c r="Y22" s="164"/>
      <c r="Z22" s="163"/>
    </row>
    <row r="23" spans="1:26" ht="15" customHeight="1" x14ac:dyDescent="0.25">
      <c r="A23" s="15"/>
      <c r="E23" s="374"/>
      <c r="G23" s="59"/>
      <c r="Y23" s="171">
        <f>+C14+C16</f>
        <v>766</v>
      </c>
      <c r="Z23" s="151" t="s">
        <v>7</v>
      </c>
    </row>
    <row r="24" spans="1:26" ht="15" customHeight="1" x14ac:dyDescent="0.25">
      <c r="A24" s="15"/>
      <c r="C24" s="375"/>
      <c r="D24" s="375"/>
      <c r="E24" s="375"/>
      <c r="I24" s="18"/>
      <c r="Y24" s="151">
        <v>10315</v>
      </c>
      <c r="Z24" s="151" t="s">
        <v>8</v>
      </c>
    </row>
    <row r="25" spans="1:26" ht="15" customHeight="1" x14ac:dyDescent="0.25">
      <c r="A25" s="15"/>
      <c r="C25" s="375"/>
      <c r="D25" s="375"/>
      <c r="E25" s="374"/>
      <c r="Y25" s="166"/>
      <c r="Z25" s="163"/>
    </row>
    <row r="26" spans="1:26" ht="15" customHeight="1" x14ac:dyDescent="0.25">
      <c r="A26" s="15"/>
      <c r="B26" s="411"/>
      <c r="C26" s="377"/>
      <c r="D26" s="377"/>
      <c r="E26" s="374"/>
      <c r="Y26" s="166"/>
      <c r="Z26" s="163"/>
    </row>
    <row r="27" spans="1:26" ht="15" customHeight="1" x14ac:dyDescent="0.25">
      <c r="A27" s="15"/>
      <c r="B27" s="376"/>
      <c r="C27" s="377"/>
      <c r="D27" s="377"/>
      <c r="E27" s="374"/>
      <c r="Y27" s="166"/>
      <c r="Z27" s="163"/>
    </row>
    <row r="28" spans="1:26" ht="15" customHeight="1" x14ac:dyDescent="0.25">
      <c r="A28" s="15"/>
      <c r="B28" s="376"/>
      <c r="C28" s="377"/>
      <c r="D28" s="377"/>
      <c r="E28" s="374"/>
      <c r="Y28" s="166"/>
      <c r="Z28" s="163"/>
    </row>
    <row r="29" spans="1:26" ht="24.75" customHeight="1" x14ac:dyDescent="0.25">
      <c r="A29" s="15"/>
      <c r="B29" s="648" t="s">
        <v>147</v>
      </c>
      <c r="C29" s="648"/>
      <c r="D29" s="648"/>
      <c r="E29" s="648"/>
      <c r="I29" s="3"/>
      <c r="J29" s="3"/>
      <c r="Y29" s="166"/>
      <c r="Z29" s="163"/>
    </row>
    <row r="30" spans="1:26" ht="15" customHeight="1" x14ac:dyDescent="0.25">
      <c r="A30" s="15"/>
      <c r="B30" s="376"/>
      <c r="C30" s="377"/>
      <c r="D30" s="377"/>
      <c r="E30" s="374"/>
      <c r="I30" s="3"/>
      <c r="J30" s="3"/>
      <c r="Y30" s="166"/>
      <c r="Z30" s="163"/>
    </row>
    <row r="31" spans="1:26" ht="15" customHeight="1" x14ac:dyDescent="0.25">
      <c r="A31" s="15"/>
      <c r="B31" s="425" t="s">
        <v>2</v>
      </c>
      <c r="C31" s="369" t="s">
        <v>167</v>
      </c>
      <c r="D31" s="423" t="s">
        <v>97</v>
      </c>
      <c r="F31" s="12"/>
      <c r="G31" s="3"/>
      <c r="I31" s="3"/>
      <c r="L31" s="22"/>
      <c r="M31" s="19"/>
      <c r="P31" s="22"/>
      <c r="V31" s="163"/>
      <c r="W31" s="151"/>
      <c r="X31" s="166"/>
      <c r="Y31" s="163"/>
      <c r="Z31" s="172"/>
    </row>
    <row r="32" spans="1:26" ht="15" customHeight="1" x14ac:dyDescent="0.25">
      <c r="A32" s="15"/>
      <c r="B32" s="371" t="s">
        <v>209</v>
      </c>
      <c r="C32" s="378">
        <v>264</v>
      </c>
      <c r="D32" s="372">
        <v>5190204908.869998</v>
      </c>
      <c r="F32" s="12"/>
      <c r="G32" s="3"/>
      <c r="I32" s="3"/>
      <c r="L32" s="22"/>
      <c r="M32" s="19"/>
      <c r="P32" s="22"/>
      <c r="V32" s="163"/>
      <c r="W32" s="252" t="s">
        <v>209</v>
      </c>
      <c r="X32" s="252">
        <v>1094</v>
      </c>
      <c r="Y32" s="252">
        <v>18699552024.320038</v>
      </c>
      <c r="Z32" s="172"/>
    </row>
    <row r="33" spans="1:26" ht="15" customHeight="1" x14ac:dyDescent="0.35">
      <c r="A33" s="15"/>
      <c r="B33" s="379" t="s">
        <v>210</v>
      </c>
      <c r="C33" s="378">
        <v>35</v>
      </c>
      <c r="D33" s="372">
        <v>785841491.10000002</v>
      </c>
      <c r="F33" s="12"/>
      <c r="G33" s="3"/>
      <c r="I33" s="3"/>
      <c r="L33" s="22"/>
      <c r="M33" s="19"/>
      <c r="P33" s="22"/>
      <c r="V33" s="166">
        <f>+C32/C36</f>
        <v>0.882943143812709</v>
      </c>
      <c r="W33" s="314" t="s">
        <v>209</v>
      </c>
      <c r="X33" s="315">
        <v>264</v>
      </c>
      <c r="Y33" s="312">
        <v>5190204908.869998</v>
      </c>
      <c r="Z33" s="172"/>
    </row>
    <row r="34" spans="1:26" ht="15" customHeight="1" x14ac:dyDescent="0.35">
      <c r="A34" s="15"/>
      <c r="B34" s="371" t="s">
        <v>211</v>
      </c>
      <c r="C34" s="378">
        <v>0</v>
      </c>
      <c r="D34" s="372">
        <v>0</v>
      </c>
      <c r="F34" s="12"/>
      <c r="G34" s="3"/>
      <c r="I34" s="3"/>
      <c r="L34" s="22"/>
      <c r="M34" s="19"/>
      <c r="P34" s="22"/>
      <c r="V34" s="166">
        <f>+C33/C36</f>
        <v>0.11705685618729098</v>
      </c>
      <c r="W34" s="313" t="s">
        <v>210</v>
      </c>
      <c r="X34" s="315">
        <v>35</v>
      </c>
      <c r="Y34" s="312">
        <v>785841491.10000002</v>
      </c>
      <c r="Z34" s="172"/>
    </row>
    <row r="35" spans="1:26" ht="15" hidden="1" customHeight="1" x14ac:dyDescent="0.35">
      <c r="A35" s="15"/>
      <c r="B35" s="371" t="s">
        <v>212</v>
      </c>
      <c r="C35" s="378">
        <v>0</v>
      </c>
      <c r="D35" s="372">
        <v>0</v>
      </c>
      <c r="F35" s="12"/>
      <c r="G35" s="3"/>
      <c r="I35" s="3"/>
      <c r="L35" s="22"/>
      <c r="M35" s="19"/>
      <c r="P35" s="22"/>
      <c r="V35" s="166">
        <f>C34/C36</f>
        <v>0</v>
      </c>
      <c r="W35" s="313" t="s">
        <v>211</v>
      </c>
      <c r="X35" s="315">
        <v>1</v>
      </c>
      <c r="Y35" s="312">
        <v>14792598.48</v>
      </c>
      <c r="Z35" s="172"/>
    </row>
    <row r="36" spans="1:26" ht="15" customHeight="1" x14ac:dyDescent="0.35">
      <c r="A36" s="15"/>
      <c r="B36" s="426" t="s">
        <v>6</v>
      </c>
      <c r="C36" s="367">
        <f>SUM(C32:C35)</f>
        <v>299</v>
      </c>
      <c r="D36" s="424">
        <f>SUM(D32:D35)</f>
        <v>5976046399.9699984</v>
      </c>
      <c r="E36" s="368"/>
      <c r="F36" s="12"/>
      <c r="G36" s="3"/>
      <c r="I36" s="3"/>
      <c r="L36" s="22"/>
      <c r="M36" s="19"/>
      <c r="P36" s="22"/>
      <c r="V36" s="166">
        <f>+C35/C36</f>
        <v>0</v>
      </c>
      <c r="W36" s="314" t="s">
        <v>212</v>
      </c>
      <c r="X36" s="315">
        <v>0</v>
      </c>
      <c r="Y36" s="312">
        <v>0</v>
      </c>
      <c r="Z36" s="172"/>
    </row>
    <row r="37" spans="1:26" ht="15" customHeight="1" x14ac:dyDescent="0.25">
      <c r="A37" s="15"/>
      <c r="B37" s="551" t="s">
        <v>279</v>
      </c>
      <c r="C37" s="444"/>
      <c r="D37" s="444"/>
      <c r="E37" s="402"/>
      <c r="F37" s="3"/>
      <c r="I37" s="3"/>
      <c r="J37" s="3"/>
      <c r="W37" s="173"/>
      <c r="X37" s="253"/>
      <c r="Y37" s="254"/>
      <c r="Z37" s="186">
        <v>0</v>
      </c>
    </row>
    <row r="38" spans="1:26" ht="15" customHeight="1" x14ac:dyDescent="0.25">
      <c r="A38" s="15"/>
      <c r="B38" s="443"/>
      <c r="C38" s="445"/>
      <c r="D38" s="445"/>
      <c r="E38" s="402"/>
      <c r="F38" s="3"/>
      <c r="I38" s="3"/>
      <c r="J38" s="3"/>
      <c r="W38" s="173"/>
      <c r="X38" s="253"/>
      <c r="Y38" s="254"/>
      <c r="Z38" s="186">
        <v>0</v>
      </c>
    </row>
    <row r="39" spans="1:26" ht="15" customHeight="1" x14ac:dyDescent="0.25">
      <c r="A39" s="15"/>
      <c r="B39" s="443"/>
      <c r="C39" s="445"/>
      <c r="D39" s="445"/>
      <c r="E39" s="446"/>
      <c r="F39" s="3"/>
      <c r="I39" s="3"/>
      <c r="J39" s="3"/>
      <c r="W39" s="173"/>
    </row>
    <row r="40" spans="1:26" ht="15" customHeight="1" x14ac:dyDescent="0.25">
      <c r="A40" s="15"/>
      <c r="B40" s="447"/>
      <c r="I40" s="3"/>
      <c r="J40" s="3"/>
      <c r="W40" s="173"/>
    </row>
    <row r="41" spans="1:26" ht="15" customHeight="1" x14ac:dyDescent="0.25">
      <c r="A41" s="15"/>
      <c r="I41" s="3"/>
      <c r="J41" s="3"/>
      <c r="W41" s="174"/>
      <c r="X41" s="168"/>
      <c r="Y41" s="169">
        <f>SUM(Y33:Y34)</f>
        <v>5976046399.9699984</v>
      </c>
      <c r="Z41" s="170">
        <f>SUM(Z33:Z38)</f>
        <v>0</v>
      </c>
    </row>
    <row r="42" spans="1:26" ht="15" customHeight="1" x14ac:dyDescent="0.25">
      <c r="A42" s="15"/>
      <c r="I42" s="3"/>
      <c r="J42" s="3"/>
      <c r="Y42" s="166"/>
      <c r="Z42" s="163"/>
    </row>
    <row r="43" spans="1:26" ht="15" customHeight="1" x14ac:dyDescent="0.25">
      <c r="A43" s="15"/>
      <c r="B43" s="376"/>
      <c r="C43" s="377"/>
      <c r="D43" s="377"/>
      <c r="E43" s="374"/>
      <c r="I43" s="3"/>
      <c r="J43" s="3"/>
      <c r="Y43" s="166"/>
      <c r="Z43" s="163"/>
    </row>
    <row r="44" spans="1:26" ht="15" customHeight="1" x14ac:dyDescent="0.25">
      <c r="A44" s="15"/>
      <c r="B44" s="376"/>
      <c r="C44" s="377"/>
      <c r="D44" s="377"/>
      <c r="E44" s="374"/>
      <c r="H44" s="55"/>
      <c r="Y44" s="166"/>
      <c r="Z44" s="163"/>
    </row>
    <row r="45" spans="1:26" ht="15" customHeight="1" x14ac:dyDescent="0.25">
      <c r="A45" s="15"/>
      <c r="B45" s="376"/>
      <c r="C45" s="377"/>
      <c r="D45" s="377"/>
      <c r="E45" s="374"/>
      <c r="Y45" s="166"/>
      <c r="Z45" s="163"/>
    </row>
    <row r="46" spans="1:26" ht="15" customHeight="1" x14ac:dyDescent="0.25">
      <c r="A46" s="15"/>
      <c r="B46" s="376"/>
      <c r="C46" s="377"/>
      <c r="D46" s="377"/>
      <c r="E46" s="374"/>
      <c r="Y46" s="166"/>
      <c r="Z46" s="163"/>
    </row>
    <row r="47" spans="1:26" ht="15" customHeight="1" x14ac:dyDescent="0.25">
      <c r="A47" s="15"/>
      <c r="B47" s="376"/>
      <c r="C47" s="377"/>
      <c r="D47" s="377"/>
      <c r="E47" s="374"/>
      <c r="H47" s="12"/>
      <c r="I47" s="12"/>
      <c r="J47" s="12"/>
      <c r="Y47" s="166"/>
      <c r="Z47" s="163"/>
    </row>
    <row r="48" spans="1:26" ht="15" customHeight="1" x14ac:dyDescent="0.25">
      <c r="A48" s="15"/>
      <c r="B48" s="376"/>
      <c r="C48" s="377"/>
      <c r="D48" s="377"/>
      <c r="E48" s="374"/>
      <c r="H48" s="12"/>
      <c r="I48" s="12"/>
      <c r="J48" s="12"/>
      <c r="Y48" s="166"/>
      <c r="Z48" s="163"/>
    </row>
    <row r="49" spans="1:16" ht="34.5" customHeight="1" x14ac:dyDescent="0.25">
      <c r="A49" s="15"/>
      <c r="B49" s="648" t="s">
        <v>148</v>
      </c>
      <c r="C49" s="648"/>
      <c r="D49" s="648"/>
      <c r="E49" s="648"/>
      <c r="H49" s="12"/>
      <c r="I49" s="12"/>
      <c r="J49" s="12"/>
    </row>
    <row r="50" spans="1:16" ht="15" customHeight="1" x14ac:dyDescent="0.25">
      <c r="A50" s="15"/>
      <c r="B50" s="376"/>
      <c r="C50" s="377"/>
      <c r="D50" s="377"/>
      <c r="E50" s="374"/>
      <c r="H50" s="12"/>
      <c r="I50" s="12"/>
      <c r="J50" s="12"/>
    </row>
    <row r="51" spans="1:16" ht="15" customHeight="1" x14ac:dyDescent="0.25">
      <c r="A51" s="15"/>
      <c r="B51" s="425" t="s">
        <v>2</v>
      </c>
      <c r="C51" s="369" t="s">
        <v>3</v>
      </c>
      <c r="D51" s="423" t="s">
        <v>97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70">
        <v>1</v>
      </c>
      <c r="C52" s="371">
        <f t="shared" ref="C52:D55" si="0">+C14+C32</f>
        <v>899</v>
      </c>
      <c r="D52" s="372">
        <f t="shared" si="0"/>
        <v>11312501908.869999</v>
      </c>
      <c r="H52" s="12"/>
      <c r="I52" s="12"/>
      <c r="L52" s="22"/>
      <c r="M52" s="19"/>
      <c r="N52" s="61"/>
      <c r="P52" s="22"/>
    </row>
    <row r="53" spans="1:16" ht="15" customHeight="1" x14ac:dyDescent="0.25">
      <c r="A53" s="15"/>
      <c r="B53" s="373">
        <v>1.5</v>
      </c>
      <c r="C53" s="371">
        <f t="shared" si="0"/>
        <v>288</v>
      </c>
      <c r="D53" s="372">
        <f t="shared" si="0"/>
        <v>3162430491.0999999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71">
        <v>2</v>
      </c>
      <c r="C54" s="371">
        <f t="shared" si="0"/>
        <v>131</v>
      </c>
      <c r="D54" s="372">
        <f t="shared" si="0"/>
        <v>1205811000</v>
      </c>
      <c r="E54" s="368"/>
      <c r="H54" s="12"/>
      <c r="I54" s="12"/>
      <c r="L54" s="22"/>
      <c r="M54" s="19"/>
      <c r="P54" s="22"/>
    </row>
    <row r="55" spans="1:16" ht="15" customHeight="1" x14ac:dyDescent="0.25">
      <c r="A55" s="15"/>
      <c r="B55" s="371">
        <v>3</v>
      </c>
      <c r="C55" s="371">
        <f t="shared" si="0"/>
        <v>171</v>
      </c>
      <c r="D55" s="372">
        <f t="shared" si="0"/>
        <v>1513370000</v>
      </c>
      <c r="E55" s="368"/>
      <c r="H55" s="12"/>
      <c r="I55" s="12"/>
      <c r="L55" s="22"/>
      <c r="M55" s="19"/>
      <c r="P55" s="22"/>
    </row>
    <row r="56" spans="1:16" ht="15" customHeight="1" x14ac:dyDescent="0.25">
      <c r="A56" s="15"/>
      <c r="B56" s="371">
        <v>4</v>
      </c>
      <c r="C56" s="371">
        <f t="shared" ref="C56:D58" si="1">+C18</f>
        <v>74</v>
      </c>
      <c r="D56" s="372">
        <f t="shared" si="1"/>
        <v>594222000</v>
      </c>
      <c r="E56" s="368"/>
      <c r="H56" s="12"/>
      <c r="I56" s="12"/>
      <c r="L56" s="22"/>
      <c r="M56" s="19"/>
      <c r="P56" s="22"/>
    </row>
    <row r="57" spans="1:16" ht="15" customHeight="1" x14ac:dyDescent="0.25">
      <c r="A57" s="15"/>
      <c r="B57" s="371">
        <v>5</v>
      </c>
      <c r="C57" s="371">
        <f t="shared" si="1"/>
        <v>65</v>
      </c>
      <c r="D57" s="372">
        <f t="shared" si="1"/>
        <v>460094000</v>
      </c>
      <c r="E57" s="368"/>
      <c r="H57" s="12"/>
      <c r="I57" s="12"/>
      <c r="L57" s="22"/>
      <c r="M57" s="19"/>
      <c r="P57" s="22"/>
    </row>
    <row r="58" spans="1:16" ht="15" customHeight="1" x14ac:dyDescent="0.25">
      <c r="A58" s="15"/>
      <c r="B58" s="371">
        <v>6</v>
      </c>
      <c r="C58" s="371">
        <f t="shared" si="1"/>
        <v>26</v>
      </c>
      <c r="D58" s="372">
        <f t="shared" si="1"/>
        <v>165139000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426" t="s">
        <v>6</v>
      </c>
      <c r="C59" s="367">
        <f>SUM(C52:C58)</f>
        <v>1654</v>
      </c>
      <c r="D59" s="424">
        <f>SUM(D52:D58)</f>
        <v>18413568399.970001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51" t="s">
        <v>279</v>
      </c>
      <c r="G60" s="19"/>
      <c r="H60" s="12"/>
      <c r="I60" s="12"/>
      <c r="J60" s="12"/>
    </row>
    <row r="61" spans="1:16" ht="15" customHeight="1" x14ac:dyDescent="0.25">
      <c r="A61" s="15"/>
      <c r="B61" s="376"/>
      <c r="C61" s="375"/>
      <c r="D61" s="375"/>
      <c r="E61" s="374"/>
      <c r="H61" s="12"/>
      <c r="I61" s="12"/>
      <c r="J61" s="12"/>
    </row>
    <row r="62" spans="1:16" ht="15" customHeight="1" x14ac:dyDescent="0.25">
      <c r="A62" s="15"/>
      <c r="B62" s="376"/>
      <c r="C62" s="375"/>
      <c r="D62" s="375"/>
      <c r="E62" s="374"/>
      <c r="G62" s="60"/>
    </row>
    <row r="63" spans="1:16" ht="15" customHeight="1" x14ac:dyDescent="0.25">
      <c r="A63" s="15"/>
      <c r="B63" s="376"/>
      <c r="C63" s="380"/>
      <c r="D63" s="380"/>
      <c r="E63" s="374"/>
      <c r="G63" s="161"/>
    </row>
    <row r="64" spans="1:16" ht="15" customHeight="1" x14ac:dyDescent="0.25">
      <c r="A64" s="15"/>
      <c r="B64" s="376"/>
      <c r="C64" s="377"/>
      <c r="D64" s="377"/>
      <c r="E64" s="542"/>
      <c r="I64" s="56"/>
    </row>
    <row r="65" spans="1:26" ht="15" customHeight="1" x14ac:dyDescent="0.25">
      <c r="A65" s="15"/>
      <c r="B65" s="376"/>
      <c r="C65" s="377"/>
      <c r="D65" s="377"/>
      <c r="E65" s="374"/>
      <c r="I65" s="56"/>
      <c r="Y65" s="166"/>
      <c r="Z65" s="163"/>
    </row>
    <row r="66" spans="1:26" ht="33.75" customHeight="1" x14ac:dyDescent="0.25">
      <c r="A66" s="15"/>
      <c r="B66" s="648" t="s">
        <v>149</v>
      </c>
      <c r="C66" s="648"/>
      <c r="D66" s="648"/>
      <c r="E66" s="648"/>
      <c r="Y66" s="166"/>
      <c r="Z66" s="163"/>
    </row>
    <row r="67" spans="1:26" ht="15" customHeight="1" x14ac:dyDescent="0.25">
      <c r="A67" s="15"/>
      <c r="B67" s="376"/>
      <c r="C67" s="377"/>
      <c r="D67" s="377"/>
      <c r="E67" s="374"/>
      <c r="I67" s="3"/>
      <c r="J67" s="3"/>
      <c r="X67" s="657" t="s">
        <v>149</v>
      </c>
      <c r="Y67" s="657"/>
      <c r="Z67" s="657"/>
    </row>
    <row r="68" spans="1:26" ht="15" customHeight="1" x14ac:dyDescent="0.25">
      <c r="A68" s="15"/>
      <c r="B68" s="425" t="s">
        <v>57</v>
      </c>
      <c r="C68" s="369" t="s">
        <v>3</v>
      </c>
      <c r="D68" s="423" t="s">
        <v>97</v>
      </c>
      <c r="E68" s="448"/>
      <c r="G68" s="3"/>
      <c r="I68" s="3"/>
      <c r="L68" s="22"/>
      <c r="M68" s="19"/>
      <c r="P68" s="61"/>
      <c r="Q68" s="61"/>
      <c r="R68" s="61"/>
      <c r="S68" s="61"/>
      <c r="T68" s="61"/>
      <c r="U68" s="61"/>
      <c r="V68" s="166"/>
      <c r="W68" s="175" t="s">
        <v>53</v>
      </c>
      <c r="X68" s="176">
        <v>467</v>
      </c>
      <c r="Y68" s="177">
        <v>6420748002.0199976</v>
      </c>
    </row>
    <row r="69" spans="1:26" ht="14.25" customHeight="1" x14ac:dyDescent="0.25">
      <c r="A69" s="15"/>
      <c r="B69" s="381" t="s">
        <v>53</v>
      </c>
      <c r="C69" s="378">
        <v>467</v>
      </c>
      <c r="D69" s="372">
        <v>6420748002.0199976</v>
      </c>
      <c r="E69" s="448"/>
      <c r="G69" s="3"/>
      <c r="I69" s="3"/>
      <c r="L69" s="22"/>
      <c r="M69" s="19"/>
      <c r="P69" s="61"/>
      <c r="Q69" s="61"/>
      <c r="R69" s="61"/>
      <c r="S69" s="61"/>
      <c r="T69" s="61"/>
      <c r="U69" s="61"/>
      <c r="V69" s="166"/>
      <c r="W69" s="175" t="s">
        <v>54</v>
      </c>
      <c r="X69" s="176">
        <v>474</v>
      </c>
      <c r="Y69" s="177">
        <v>5382615022.7399988</v>
      </c>
    </row>
    <row r="70" spans="1:26" ht="15" customHeight="1" x14ac:dyDescent="0.25">
      <c r="A70" s="15"/>
      <c r="B70" s="382" t="s">
        <v>54</v>
      </c>
      <c r="C70" s="378">
        <v>474</v>
      </c>
      <c r="D70" s="372">
        <v>5382615022.7399988</v>
      </c>
      <c r="E70" s="448"/>
      <c r="G70" s="3"/>
      <c r="I70" s="3"/>
      <c r="L70" s="22"/>
      <c r="M70" s="19"/>
      <c r="P70" s="61"/>
      <c r="Q70" s="61"/>
      <c r="R70" s="61"/>
      <c r="S70" s="61"/>
      <c r="T70" s="61"/>
      <c r="U70" s="61"/>
      <c r="V70" s="166"/>
      <c r="W70" s="175" t="s">
        <v>55</v>
      </c>
      <c r="X70" s="176">
        <v>713</v>
      </c>
      <c r="Y70" s="177">
        <v>6610205375.21</v>
      </c>
    </row>
    <row r="71" spans="1:26" ht="15" customHeight="1" x14ac:dyDescent="0.25">
      <c r="A71" s="15"/>
      <c r="B71" s="382" t="s">
        <v>55</v>
      </c>
      <c r="C71" s="378">
        <v>713</v>
      </c>
      <c r="D71" s="372">
        <v>6610205375.21</v>
      </c>
      <c r="E71" s="448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73"/>
      <c r="W71" s="168" t="s">
        <v>29</v>
      </c>
      <c r="X71" s="169">
        <f>SUM(X68:X70)</f>
        <v>1654</v>
      </c>
      <c r="Y71" s="170">
        <f>SUM(Y68:Y70)</f>
        <v>18413568399.969997</v>
      </c>
    </row>
    <row r="72" spans="1:26" ht="15" customHeight="1" x14ac:dyDescent="0.25">
      <c r="A72" s="15"/>
      <c r="B72" s="427" t="s">
        <v>6</v>
      </c>
      <c r="C72" s="367">
        <f>SUM(C69:C71)</f>
        <v>1654</v>
      </c>
      <c r="D72" s="424">
        <f>SUM(D69:D71)</f>
        <v>18413568399.969997</v>
      </c>
      <c r="E72" s="448"/>
      <c r="G72" s="3"/>
      <c r="I72" s="3"/>
      <c r="L72" s="22"/>
      <c r="M72" s="19"/>
      <c r="N72" s="61"/>
      <c r="O72" s="22"/>
      <c r="P72" s="23"/>
      <c r="Q72" s="23"/>
      <c r="R72" s="23"/>
      <c r="S72" s="23"/>
      <c r="T72" s="23"/>
      <c r="U72" s="23"/>
      <c r="V72" s="163"/>
      <c r="W72" s="151"/>
      <c r="X72" s="164"/>
      <c r="Y72" s="163"/>
    </row>
    <row r="73" spans="1:26" ht="15" customHeight="1" x14ac:dyDescent="0.25">
      <c r="A73" s="15"/>
      <c r="B73" s="551" t="s">
        <v>279</v>
      </c>
      <c r="C73" s="503"/>
      <c r="D73" s="552"/>
      <c r="E73" s="448"/>
      <c r="G73" s="3"/>
      <c r="I73" s="3"/>
      <c r="L73" s="22"/>
      <c r="M73" s="19"/>
      <c r="N73" s="61"/>
      <c r="O73" s="22"/>
      <c r="P73" s="23"/>
      <c r="Q73" s="23"/>
      <c r="R73" s="23"/>
      <c r="S73" s="23"/>
      <c r="T73" s="23"/>
      <c r="U73" s="23"/>
      <c r="V73" s="163"/>
      <c r="W73" s="151"/>
      <c r="X73" s="164"/>
      <c r="Y73" s="163"/>
    </row>
    <row r="74" spans="1:26" ht="15" customHeight="1" x14ac:dyDescent="0.25">
      <c r="A74" s="15"/>
      <c r="B74" s="448" t="s">
        <v>56</v>
      </c>
      <c r="C74" s="383"/>
      <c r="D74" s="383"/>
      <c r="E74" s="384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64"/>
      <c r="Z74" s="163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64"/>
      <c r="Z75" s="163"/>
    </row>
    <row r="76" spans="1:26" x14ac:dyDescent="0.25">
      <c r="A76" s="15"/>
      <c r="B76" s="652" t="s">
        <v>289</v>
      </c>
      <c r="C76" s="652"/>
      <c r="D76" s="653"/>
      <c r="E76" s="652"/>
      <c r="F76" s="11"/>
      <c r="G76" s="62"/>
      <c r="I76" s="3"/>
      <c r="J76" s="3"/>
      <c r="Q76" s="23"/>
      <c r="R76" s="23"/>
      <c r="S76" s="23"/>
      <c r="T76" s="23"/>
      <c r="U76" s="23"/>
      <c r="V76" s="23"/>
      <c r="Y76" s="164"/>
      <c r="Z76" s="163"/>
    </row>
    <row r="77" spans="1:26" x14ac:dyDescent="0.25">
      <c r="A77" s="15"/>
      <c r="B77" s="553" t="s">
        <v>53</v>
      </c>
      <c r="C77" s="688" t="s">
        <v>290</v>
      </c>
      <c r="D77" s="689"/>
      <c r="E77" s="690"/>
      <c r="G77" s="19"/>
      <c r="H77" s="19"/>
      <c r="Q77" s="23"/>
      <c r="R77" s="23"/>
      <c r="S77" s="23"/>
      <c r="T77" s="23"/>
      <c r="U77" s="23"/>
      <c r="V77" s="23"/>
      <c r="X77" s="178"/>
      <c r="Y77" s="164"/>
      <c r="Z77" s="163"/>
    </row>
    <row r="78" spans="1:26" ht="26.25" customHeight="1" x14ac:dyDescent="0.25">
      <c r="A78" s="15"/>
      <c r="B78" s="554" t="s">
        <v>54</v>
      </c>
      <c r="C78" s="654" t="s">
        <v>291</v>
      </c>
      <c r="D78" s="655"/>
      <c r="E78" s="656"/>
      <c r="G78" s="19"/>
      <c r="H78" s="19"/>
      <c r="Q78" s="23"/>
      <c r="R78" s="23"/>
      <c r="S78" s="23"/>
      <c r="T78" s="23"/>
      <c r="U78" s="23"/>
      <c r="V78" s="23"/>
      <c r="Y78" s="164"/>
      <c r="Z78" s="163"/>
    </row>
    <row r="79" spans="1:26" ht="48.75" customHeight="1" x14ac:dyDescent="0.25">
      <c r="A79" s="15"/>
      <c r="B79" s="554" t="s">
        <v>55</v>
      </c>
      <c r="C79" s="654" t="s">
        <v>292</v>
      </c>
      <c r="D79" s="655"/>
      <c r="E79" s="656"/>
      <c r="G79" s="19"/>
      <c r="H79" s="19"/>
      <c r="Q79" s="23"/>
      <c r="R79" s="23"/>
      <c r="S79" s="23"/>
      <c r="T79" s="23"/>
      <c r="U79" s="23"/>
      <c r="V79" s="23"/>
      <c r="Y79" s="164"/>
      <c r="Z79" s="163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64"/>
      <c r="Z80" s="163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64"/>
    </row>
    <row r="82" spans="1:25" ht="15" customHeight="1" x14ac:dyDescent="0.25">
      <c r="A82" s="15"/>
      <c r="G82" s="19"/>
      <c r="H82" s="19"/>
      <c r="X82" s="163"/>
    </row>
    <row r="83" spans="1:25" ht="26.25" customHeight="1" x14ac:dyDescent="0.25">
      <c r="A83" s="26"/>
      <c r="B83" s="648" t="s">
        <v>151</v>
      </c>
      <c r="C83" s="648"/>
      <c r="D83" s="648"/>
      <c r="E83" s="648"/>
      <c r="G83" s="31"/>
      <c r="H83" s="19"/>
      <c r="X83" s="163"/>
    </row>
    <row r="84" spans="1:25" x14ac:dyDescent="0.25">
      <c r="A84" s="26"/>
      <c r="B84" s="385"/>
      <c r="C84" s="386"/>
      <c r="D84" s="386"/>
      <c r="G84" s="31"/>
      <c r="H84" s="19"/>
    </row>
    <row r="85" spans="1:25" ht="23.25" customHeight="1" x14ac:dyDescent="0.25">
      <c r="A85" s="15"/>
      <c r="B85" s="440" t="s">
        <v>150</v>
      </c>
      <c r="C85" s="369" t="s">
        <v>3</v>
      </c>
      <c r="D85" s="423" t="s">
        <v>97</v>
      </c>
      <c r="G85" s="19"/>
      <c r="H85" s="19"/>
      <c r="L85" s="22"/>
      <c r="M85" s="19"/>
      <c r="P85" s="22"/>
      <c r="V85" s="163"/>
      <c r="W85" s="658" t="s">
        <v>151</v>
      </c>
      <c r="X85" s="658"/>
      <c r="Y85" s="658"/>
    </row>
    <row r="86" spans="1:25" ht="30" customHeight="1" x14ac:dyDescent="0.25">
      <c r="A86" s="15"/>
      <c r="B86" s="387" t="s">
        <v>106</v>
      </c>
      <c r="C86" s="378">
        <f t="shared" ref="C86:C92" si="2">+X87</f>
        <v>125</v>
      </c>
      <c r="D86" s="372">
        <f>+Y87/1000000</f>
        <v>1022.404</v>
      </c>
      <c r="G86" s="19"/>
      <c r="H86" s="19"/>
      <c r="L86" s="22"/>
      <c r="M86" s="19"/>
      <c r="P86" s="22"/>
      <c r="V86" s="163"/>
      <c r="W86" s="256" t="s">
        <v>10</v>
      </c>
      <c r="X86" s="257" t="s">
        <v>5</v>
      </c>
      <c r="Y86" s="256" t="s">
        <v>4</v>
      </c>
    </row>
    <row r="87" spans="1:25" ht="30" customHeight="1" x14ac:dyDescent="0.35">
      <c r="A87" s="15"/>
      <c r="B87" s="378" t="s">
        <v>107</v>
      </c>
      <c r="C87" s="378">
        <f t="shared" si="2"/>
        <v>131</v>
      </c>
      <c r="D87" s="372">
        <f t="shared" ref="D87:D92" si="3">+Y88/1000000</f>
        <v>1177.085</v>
      </c>
      <c r="G87" s="19"/>
      <c r="H87" s="19"/>
      <c r="L87" s="22"/>
      <c r="M87" s="19"/>
      <c r="P87" s="22"/>
      <c r="V87" s="163"/>
      <c r="W87" s="324" t="s">
        <v>106</v>
      </c>
      <c r="X87" s="325">
        <v>125</v>
      </c>
      <c r="Y87" s="326">
        <v>1022404000</v>
      </c>
    </row>
    <row r="88" spans="1:25" ht="30" customHeight="1" x14ac:dyDescent="0.35">
      <c r="B88" s="387" t="s">
        <v>14</v>
      </c>
      <c r="C88" s="378">
        <f t="shared" si="2"/>
        <v>162</v>
      </c>
      <c r="D88" s="372">
        <f t="shared" si="3"/>
        <v>1506.819</v>
      </c>
      <c r="G88" s="19"/>
      <c r="H88" s="19"/>
      <c r="L88" s="22"/>
      <c r="M88" s="19"/>
      <c r="P88" s="22"/>
      <c r="V88" s="163"/>
      <c r="W88" s="324" t="s">
        <v>107</v>
      </c>
      <c r="X88" s="325">
        <v>131</v>
      </c>
      <c r="Y88" s="326">
        <v>1177085000</v>
      </c>
    </row>
    <row r="89" spans="1:25" ht="30" customHeight="1" x14ac:dyDescent="0.35">
      <c r="A89" s="15"/>
      <c r="B89" s="378" t="s">
        <v>15</v>
      </c>
      <c r="C89" s="378">
        <f t="shared" si="2"/>
        <v>83</v>
      </c>
      <c r="D89" s="372">
        <f t="shared" si="3"/>
        <v>763.62400000000002</v>
      </c>
      <c r="G89" s="19"/>
      <c r="H89" s="19"/>
      <c r="L89" s="22"/>
      <c r="M89" s="19"/>
      <c r="P89" s="22"/>
      <c r="V89" s="163"/>
      <c r="W89" s="324" t="s">
        <v>14</v>
      </c>
      <c r="X89" s="325">
        <v>162</v>
      </c>
      <c r="Y89" s="326">
        <v>1506819000</v>
      </c>
    </row>
    <row r="90" spans="1:25" ht="30" customHeight="1" x14ac:dyDescent="0.35">
      <c r="A90" s="15"/>
      <c r="B90" s="387" t="s">
        <v>16</v>
      </c>
      <c r="C90" s="378">
        <f t="shared" si="2"/>
        <v>301</v>
      </c>
      <c r="D90" s="372">
        <f t="shared" si="3"/>
        <v>2804.259</v>
      </c>
      <c r="G90" s="19"/>
      <c r="H90" s="19"/>
      <c r="L90" s="22"/>
      <c r="M90" s="19"/>
      <c r="P90" s="22"/>
      <c r="V90" s="163"/>
      <c r="W90" s="324" t="s">
        <v>15</v>
      </c>
      <c r="X90" s="325">
        <v>83</v>
      </c>
      <c r="Y90" s="326">
        <v>763624000</v>
      </c>
    </row>
    <row r="91" spans="1:25" ht="30" customHeight="1" x14ac:dyDescent="0.35">
      <c r="A91" s="15"/>
      <c r="B91" s="378" t="s">
        <v>18</v>
      </c>
      <c r="C91" s="378">
        <f t="shared" si="2"/>
        <v>248</v>
      </c>
      <c r="D91" s="372">
        <f t="shared" si="3"/>
        <v>2318.7370000000001</v>
      </c>
      <c r="G91" s="19"/>
      <c r="H91" s="19"/>
      <c r="L91" s="22"/>
      <c r="M91" s="19"/>
      <c r="P91" s="22"/>
      <c r="V91" s="163"/>
      <c r="W91" s="324" t="s">
        <v>16</v>
      </c>
      <c r="X91" s="325">
        <v>301</v>
      </c>
      <c r="Y91" s="326">
        <v>2804259000</v>
      </c>
    </row>
    <row r="92" spans="1:25" ht="30" customHeight="1" x14ac:dyDescent="0.35">
      <c r="A92" s="15"/>
      <c r="B92" s="387" t="s">
        <v>17</v>
      </c>
      <c r="C92" s="378">
        <f t="shared" si="2"/>
        <v>305</v>
      </c>
      <c r="D92" s="372">
        <f t="shared" si="3"/>
        <v>2844.5940000000001</v>
      </c>
      <c r="G92" s="19"/>
      <c r="H92" s="19"/>
      <c r="L92" s="22"/>
      <c r="M92" s="19"/>
      <c r="P92" s="22"/>
      <c r="V92" s="163"/>
      <c r="W92" s="324" t="s">
        <v>18</v>
      </c>
      <c r="X92" s="325">
        <v>248</v>
      </c>
      <c r="Y92" s="326">
        <v>2318737000</v>
      </c>
    </row>
    <row r="93" spans="1:25" x14ac:dyDescent="0.35">
      <c r="A93" s="15"/>
      <c r="B93" s="428" t="s">
        <v>6</v>
      </c>
      <c r="C93" s="367">
        <f>SUM(C86:C92)</f>
        <v>1355</v>
      </c>
      <c r="D93" s="424">
        <f>SUM(D86:D92)</f>
        <v>12437.522000000001</v>
      </c>
      <c r="G93" s="19"/>
      <c r="H93" s="19"/>
      <c r="L93" s="22"/>
      <c r="M93" s="19"/>
      <c r="P93" s="22"/>
      <c r="V93" s="163"/>
      <c r="W93" s="324" t="s">
        <v>17</v>
      </c>
      <c r="X93" s="325">
        <v>305</v>
      </c>
      <c r="Y93" s="326">
        <v>2844594000</v>
      </c>
    </row>
    <row r="94" spans="1:25" x14ac:dyDescent="0.25">
      <c r="A94" s="15"/>
      <c r="G94" s="19"/>
      <c r="H94" s="19"/>
      <c r="W94" s="258"/>
      <c r="X94" s="260">
        <f>SUM(X87:X93)</f>
        <v>1355</v>
      </c>
      <c r="Y94" s="259">
        <f>SUM(Y87:Y93)</f>
        <v>12437522000</v>
      </c>
    </row>
    <row r="95" spans="1:25" x14ac:dyDescent="0.25">
      <c r="A95" s="15"/>
      <c r="G95" s="19"/>
      <c r="H95" s="19"/>
    </row>
    <row r="96" spans="1:25" x14ac:dyDescent="0.25">
      <c r="A96" s="26"/>
      <c r="B96" s="385"/>
      <c r="C96" s="386"/>
      <c r="D96" s="386"/>
      <c r="G96" s="31"/>
      <c r="H96" s="31"/>
      <c r="I96" s="31"/>
      <c r="J96" s="31"/>
    </row>
    <row r="97" spans="1:28" ht="27" customHeight="1" x14ac:dyDescent="0.25">
      <c r="A97" s="26"/>
      <c r="B97" s="648" t="s">
        <v>152</v>
      </c>
      <c r="C97" s="648"/>
      <c r="D97" s="648"/>
      <c r="E97" s="648"/>
      <c r="G97" s="31"/>
      <c r="H97" s="31"/>
      <c r="I97" s="31"/>
      <c r="J97" s="31"/>
      <c r="W97" s="659" t="s">
        <v>152</v>
      </c>
      <c r="X97" s="659"/>
      <c r="Y97" s="659"/>
      <c r="AA97" s="19"/>
    </row>
    <row r="98" spans="1:28" ht="12.75" customHeight="1" x14ac:dyDescent="0.25">
      <c r="A98" s="26"/>
      <c r="B98" s="385"/>
      <c r="C98" s="386"/>
      <c r="D98" s="386"/>
      <c r="G98" s="31"/>
      <c r="H98" s="31"/>
      <c r="I98" s="31"/>
      <c r="J98" s="31"/>
      <c r="W98" s="659"/>
      <c r="X98" s="659"/>
      <c r="Y98" s="659"/>
      <c r="AA98" s="19"/>
    </row>
    <row r="99" spans="1:28" ht="31.5" customHeight="1" x14ac:dyDescent="0.25">
      <c r="A99" s="15"/>
      <c r="B99" s="440" t="s">
        <v>108</v>
      </c>
      <c r="C99" s="369" t="s">
        <v>3</v>
      </c>
      <c r="D99" s="423" t="s">
        <v>97</v>
      </c>
      <c r="F99" s="31"/>
      <c r="G99" s="31"/>
      <c r="H99" s="31"/>
      <c r="I99" s="31"/>
      <c r="L99" s="22"/>
      <c r="M99" s="19"/>
      <c r="P99" s="22"/>
      <c r="V99" s="163"/>
      <c r="W99" s="261" t="s">
        <v>10</v>
      </c>
      <c r="X99" s="264" t="s">
        <v>5</v>
      </c>
      <c r="Y99" s="261" t="s">
        <v>4</v>
      </c>
      <c r="AA99" s="19"/>
      <c r="AB99" s="16"/>
    </row>
    <row r="100" spans="1:28" s="36" customFormat="1" ht="30" customHeight="1" x14ac:dyDescent="0.35">
      <c r="A100" s="34"/>
      <c r="B100" s="387" t="s">
        <v>106</v>
      </c>
      <c r="C100" s="378">
        <f t="shared" ref="C100:C106" si="4">+X100</f>
        <v>13</v>
      </c>
      <c r="D100" s="388">
        <f t="shared" ref="D100:D106" si="5">+Y100/1000000</f>
        <v>316.88633269999997</v>
      </c>
      <c r="E100" s="378"/>
      <c r="F100" s="42"/>
      <c r="G100" s="42"/>
      <c r="H100" s="42"/>
      <c r="I100" s="42"/>
      <c r="L100" s="43"/>
      <c r="P100" s="43"/>
      <c r="Q100" s="43"/>
      <c r="R100" s="43"/>
      <c r="S100" s="43"/>
      <c r="T100" s="43"/>
      <c r="U100" s="43"/>
      <c r="V100" s="149"/>
      <c r="W100" s="324" t="s">
        <v>106</v>
      </c>
      <c r="X100" s="325">
        <v>13</v>
      </c>
      <c r="Y100" s="326">
        <v>316886332.69999999</v>
      </c>
      <c r="Z100" s="148"/>
      <c r="AA100" s="19"/>
      <c r="AB100" s="16"/>
    </row>
    <row r="101" spans="1:28" s="36" customFormat="1" ht="30" customHeight="1" x14ac:dyDescent="0.35">
      <c r="A101" s="34"/>
      <c r="B101" s="378" t="s">
        <v>107</v>
      </c>
      <c r="C101" s="378">
        <f t="shared" si="4"/>
        <v>30</v>
      </c>
      <c r="D101" s="388">
        <f>+Y101/1000000</f>
        <v>630.97778200999994</v>
      </c>
      <c r="E101" s="378"/>
      <c r="F101" s="42"/>
      <c r="G101" s="42"/>
      <c r="H101" s="42"/>
      <c r="I101" s="42"/>
      <c r="L101" s="43"/>
      <c r="P101" s="43"/>
      <c r="Q101" s="43"/>
      <c r="R101" s="43"/>
      <c r="S101" s="43"/>
      <c r="T101" s="43"/>
      <c r="U101" s="43"/>
      <c r="V101" s="149"/>
      <c r="W101" s="324" t="s">
        <v>107</v>
      </c>
      <c r="X101" s="325">
        <v>30</v>
      </c>
      <c r="Y101" s="326">
        <v>630977782.00999999</v>
      </c>
      <c r="Z101" s="148"/>
      <c r="AA101" s="19"/>
      <c r="AB101" s="16"/>
    </row>
    <row r="102" spans="1:28" s="36" customFormat="1" ht="30" customHeight="1" x14ac:dyDescent="0.35">
      <c r="B102" s="387" t="s">
        <v>14</v>
      </c>
      <c r="C102" s="378">
        <f t="shared" si="4"/>
        <v>19</v>
      </c>
      <c r="D102" s="388">
        <f t="shared" si="5"/>
        <v>416.25825091000002</v>
      </c>
      <c r="E102" s="378"/>
      <c r="F102" s="42"/>
      <c r="G102" s="42"/>
      <c r="H102" s="42"/>
      <c r="I102" s="42"/>
      <c r="L102" s="43"/>
      <c r="P102" s="43"/>
      <c r="Q102" s="43"/>
      <c r="R102" s="43"/>
      <c r="S102" s="43"/>
      <c r="T102" s="43"/>
      <c r="U102" s="43"/>
      <c r="V102" s="149"/>
      <c r="W102" s="324" t="s">
        <v>14</v>
      </c>
      <c r="X102" s="325">
        <v>19</v>
      </c>
      <c r="Y102" s="326">
        <v>416258250.91000003</v>
      </c>
      <c r="Z102" s="148"/>
      <c r="AA102" s="19"/>
      <c r="AB102" s="16"/>
    </row>
    <row r="103" spans="1:28" s="36" customFormat="1" ht="30" customHeight="1" x14ac:dyDescent="0.35">
      <c r="A103" s="34"/>
      <c r="B103" s="378" t="s">
        <v>15</v>
      </c>
      <c r="C103" s="378">
        <f t="shared" si="4"/>
        <v>54</v>
      </c>
      <c r="D103" s="388">
        <f t="shared" si="5"/>
        <v>1077.1035138900002</v>
      </c>
      <c r="E103" s="378"/>
      <c r="F103" s="42"/>
      <c r="G103" s="42"/>
      <c r="H103" s="42"/>
      <c r="I103" s="42"/>
      <c r="L103" s="43"/>
      <c r="P103" s="43"/>
      <c r="Q103" s="43"/>
      <c r="R103" s="43"/>
      <c r="S103" s="43"/>
      <c r="T103" s="43"/>
      <c r="U103" s="43"/>
      <c r="V103" s="149"/>
      <c r="W103" s="324" t="s">
        <v>15</v>
      </c>
      <c r="X103" s="325">
        <v>54</v>
      </c>
      <c r="Y103" s="326">
        <v>1077103513.8900001</v>
      </c>
      <c r="Z103" s="148"/>
      <c r="AA103" s="19"/>
      <c r="AB103" s="16"/>
    </row>
    <row r="104" spans="1:28" s="36" customFormat="1" ht="30" customHeight="1" x14ac:dyDescent="0.35">
      <c r="A104" s="34"/>
      <c r="B104" s="387" t="s">
        <v>16</v>
      </c>
      <c r="C104" s="378">
        <f t="shared" si="4"/>
        <v>39</v>
      </c>
      <c r="D104" s="388">
        <f t="shared" si="5"/>
        <v>670.31314417999999</v>
      </c>
      <c r="E104" s="378"/>
      <c r="F104" s="42"/>
      <c r="G104" s="42"/>
      <c r="H104" s="42"/>
      <c r="I104" s="42"/>
      <c r="L104" s="43"/>
      <c r="P104" s="43"/>
      <c r="Q104" s="43"/>
      <c r="R104" s="43"/>
      <c r="S104" s="43"/>
      <c r="T104" s="43"/>
      <c r="U104" s="43"/>
      <c r="V104" s="149"/>
      <c r="W104" s="324" t="s">
        <v>16</v>
      </c>
      <c r="X104" s="325">
        <v>39</v>
      </c>
      <c r="Y104" s="326">
        <v>670313144.17999995</v>
      </c>
      <c r="Z104" s="148"/>
      <c r="AA104" s="19"/>
      <c r="AB104" s="16"/>
    </row>
    <row r="105" spans="1:28" s="36" customFormat="1" ht="30" customHeight="1" x14ac:dyDescent="0.35">
      <c r="A105" s="34"/>
      <c r="B105" s="378" t="s">
        <v>18</v>
      </c>
      <c r="C105" s="378">
        <f t="shared" si="4"/>
        <v>109</v>
      </c>
      <c r="D105" s="388">
        <f t="shared" si="5"/>
        <v>2229.7633925999999</v>
      </c>
      <c r="E105" s="378"/>
      <c r="F105" s="42"/>
      <c r="G105" s="42"/>
      <c r="H105" s="42"/>
      <c r="I105" s="42"/>
      <c r="L105" s="43"/>
      <c r="P105" s="43"/>
      <c r="Q105" s="43"/>
      <c r="R105" s="43"/>
      <c r="S105" s="43"/>
      <c r="T105" s="43"/>
      <c r="U105" s="43"/>
      <c r="V105" s="149"/>
      <c r="W105" s="324" t="s">
        <v>18</v>
      </c>
      <c r="X105" s="325">
        <v>109</v>
      </c>
      <c r="Y105" s="326">
        <v>2229763392.5999999</v>
      </c>
      <c r="Z105" s="148"/>
      <c r="AA105" s="19"/>
      <c r="AB105" s="16"/>
    </row>
    <row r="106" spans="1:28" s="36" customFormat="1" ht="30" customHeight="1" x14ac:dyDescent="0.35">
      <c r="A106" s="34"/>
      <c r="B106" s="387" t="s">
        <v>17</v>
      </c>
      <c r="C106" s="378">
        <f t="shared" si="4"/>
        <v>35</v>
      </c>
      <c r="D106" s="388">
        <f t="shared" si="5"/>
        <v>634.74398367999993</v>
      </c>
      <c r="E106" s="378"/>
      <c r="F106" s="42"/>
      <c r="G106" s="42"/>
      <c r="H106" s="42"/>
      <c r="I106" s="42"/>
      <c r="L106" s="43"/>
      <c r="P106" s="43"/>
      <c r="Q106" s="43"/>
      <c r="R106" s="43"/>
      <c r="S106" s="43"/>
      <c r="T106" s="43"/>
      <c r="U106" s="43"/>
      <c r="V106" s="149"/>
      <c r="W106" s="324" t="s">
        <v>17</v>
      </c>
      <c r="X106" s="325">
        <v>35</v>
      </c>
      <c r="Y106" s="326">
        <v>634743983.67999995</v>
      </c>
      <c r="Z106" s="148"/>
      <c r="AA106" s="19"/>
      <c r="AB106" s="16"/>
    </row>
    <row r="107" spans="1:28" x14ac:dyDescent="0.25">
      <c r="A107" s="15"/>
      <c r="B107" s="428" t="s">
        <v>6</v>
      </c>
      <c r="C107" s="367">
        <f>SUM(C100:C106)</f>
        <v>299</v>
      </c>
      <c r="D107" s="424">
        <f>SUM(D100:D106)</f>
        <v>5976.0463999700005</v>
      </c>
      <c r="F107" s="31"/>
      <c r="G107" s="31"/>
      <c r="H107" s="31"/>
      <c r="I107" s="31"/>
      <c r="L107" s="22"/>
      <c r="M107" s="19"/>
      <c r="P107" s="22"/>
      <c r="V107" s="163"/>
      <c r="W107" s="258" t="s">
        <v>6</v>
      </c>
      <c r="X107" s="262">
        <f>SUM(X100:X106)</f>
        <v>299</v>
      </c>
      <c r="Y107" s="263">
        <f>SUM(Y100:Y106)</f>
        <v>5976046399.9700003</v>
      </c>
      <c r="AA107" s="19"/>
      <c r="AB107" s="16"/>
    </row>
    <row r="108" spans="1:28" x14ac:dyDescent="0.25">
      <c r="A108" s="15"/>
      <c r="C108" s="389"/>
      <c r="D108" s="389"/>
      <c r="E108" s="390"/>
      <c r="G108" s="31"/>
      <c r="H108" s="31"/>
      <c r="I108" s="31"/>
      <c r="J108" s="31"/>
      <c r="Z108" s="163"/>
    </row>
    <row r="109" spans="1:28" x14ac:dyDescent="0.25">
      <c r="A109" s="26"/>
      <c r="B109" s="385"/>
      <c r="C109" s="386"/>
      <c r="D109" s="386"/>
      <c r="E109" s="391"/>
      <c r="G109" s="31"/>
      <c r="H109" s="31"/>
      <c r="I109" s="31"/>
      <c r="J109" s="31"/>
      <c r="Z109" s="163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63"/>
    </row>
    <row r="111" spans="1:28" ht="26.25" customHeight="1" x14ac:dyDescent="0.25">
      <c r="A111" s="26"/>
      <c r="B111" s="648" t="s">
        <v>153</v>
      </c>
      <c r="C111" s="648"/>
      <c r="D111" s="648"/>
      <c r="E111" s="648"/>
      <c r="G111" s="31"/>
      <c r="H111" s="31"/>
      <c r="I111" s="31"/>
      <c r="J111" s="31"/>
      <c r="Z111" s="163"/>
    </row>
    <row r="112" spans="1:28" x14ac:dyDescent="0.25">
      <c r="A112" s="15"/>
      <c r="B112" s="54"/>
      <c r="G112" s="31"/>
      <c r="H112" s="31"/>
      <c r="I112" s="31"/>
      <c r="J112" s="31"/>
      <c r="Z112" s="163"/>
    </row>
    <row r="113" spans="1:25" ht="15" customHeight="1" x14ac:dyDescent="0.25">
      <c r="A113" s="15"/>
      <c r="B113" s="429" t="s">
        <v>109</v>
      </c>
      <c r="C113" s="369" t="s">
        <v>3</v>
      </c>
      <c r="D113" s="423" t="s">
        <v>97</v>
      </c>
      <c r="G113" s="31"/>
      <c r="H113" s="31"/>
      <c r="I113" s="31"/>
      <c r="L113" s="22"/>
      <c r="M113" s="19"/>
      <c r="P113" s="22"/>
      <c r="V113" s="163"/>
      <c r="W113" s="151"/>
      <c r="Y113" s="163"/>
    </row>
    <row r="114" spans="1:25" s="36" customFormat="1" ht="30" customHeight="1" x14ac:dyDescent="0.25">
      <c r="A114" s="34"/>
      <c r="B114" s="387" t="s">
        <v>106</v>
      </c>
      <c r="C114" s="378">
        <f>+C86+C100</f>
        <v>138</v>
      </c>
      <c r="D114" s="388">
        <f>+D86+D100</f>
        <v>1339.2903326999999</v>
      </c>
      <c r="E114" s="378"/>
      <c r="G114" s="42"/>
      <c r="H114" s="42"/>
      <c r="I114" s="42"/>
      <c r="L114" s="43"/>
      <c r="P114" s="43"/>
      <c r="Q114" s="43"/>
      <c r="R114" s="43"/>
      <c r="S114" s="43"/>
      <c r="T114" s="43"/>
      <c r="U114" s="43"/>
      <c r="V114" s="149"/>
      <c r="W114" s="148"/>
      <c r="X114" s="148"/>
      <c r="Y114" s="149"/>
    </row>
    <row r="115" spans="1:25" s="36" customFormat="1" ht="30" customHeight="1" x14ac:dyDescent="0.25">
      <c r="A115" s="34"/>
      <c r="B115" s="378" t="s">
        <v>107</v>
      </c>
      <c r="C115" s="378">
        <f t="shared" ref="C115:C120" si="6">+C87+C101</f>
        <v>161</v>
      </c>
      <c r="D115" s="388">
        <f t="shared" ref="D115:D120" si="7">+D87+D101</f>
        <v>1808.0627820099999</v>
      </c>
      <c r="E115" s="378"/>
      <c r="G115" s="42"/>
      <c r="H115" s="42"/>
      <c r="I115" s="42"/>
      <c r="L115" s="43"/>
      <c r="N115" s="19"/>
      <c r="P115" s="43"/>
      <c r="Q115" s="43"/>
      <c r="R115" s="43"/>
      <c r="S115" s="43"/>
      <c r="T115" s="43"/>
      <c r="U115" s="43"/>
      <c r="V115" s="149"/>
      <c r="W115" s="148"/>
      <c r="X115" s="148"/>
      <c r="Y115" s="149"/>
    </row>
    <row r="116" spans="1:25" s="36" customFormat="1" ht="30" customHeight="1" x14ac:dyDescent="0.25">
      <c r="B116" s="387" t="s">
        <v>14</v>
      </c>
      <c r="C116" s="378">
        <f>+C88+C102</f>
        <v>181</v>
      </c>
      <c r="D116" s="388">
        <f t="shared" si="7"/>
        <v>1923.07725091</v>
      </c>
      <c r="E116" s="378"/>
      <c r="G116" s="42"/>
      <c r="H116" s="42"/>
      <c r="I116" s="42"/>
      <c r="L116" s="43"/>
      <c r="N116" s="419"/>
      <c r="P116" s="43"/>
      <c r="Q116" s="43"/>
      <c r="R116" s="43"/>
      <c r="S116" s="43"/>
      <c r="T116" s="43"/>
      <c r="U116" s="43"/>
      <c r="V116" s="149"/>
      <c r="W116" s="148"/>
      <c r="X116" s="148"/>
      <c r="Y116" s="149"/>
    </row>
    <row r="117" spans="1:25" s="36" customFormat="1" ht="30" customHeight="1" x14ac:dyDescent="0.25">
      <c r="A117" s="34"/>
      <c r="B117" s="378" t="s">
        <v>15</v>
      </c>
      <c r="C117" s="378">
        <f t="shared" si="6"/>
        <v>137</v>
      </c>
      <c r="D117" s="388">
        <f t="shared" si="7"/>
        <v>1840.7275138900002</v>
      </c>
      <c r="E117" s="378"/>
      <c r="G117" s="42"/>
      <c r="H117" s="42"/>
      <c r="I117" s="42"/>
      <c r="L117" s="43"/>
      <c r="P117" s="43"/>
      <c r="Q117" s="43"/>
      <c r="R117" s="43"/>
      <c r="S117" s="43"/>
      <c r="T117" s="43"/>
      <c r="U117" s="43"/>
      <c r="V117" s="149"/>
      <c r="W117" s="148"/>
      <c r="X117" s="148"/>
      <c r="Y117" s="149"/>
    </row>
    <row r="118" spans="1:25" s="36" customFormat="1" ht="30" customHeight="1" x14ac:dyDescent="0.25">
      <c r="A118" s="34"/>
      <c r="B118" s="387" t="s">
        <v>16</v>
      </c>
      <c r="C118" s="378">
        <f t="shared" si="6"/>
        <v>340</v>
      </c>
      <c r="D118" s="388">
        <f t="shared" si="7"/>
        <v>3474.5721441800001</v>
      </c>
      <c r="E118" s="378"/>
      <c r="G118" s="42"/>
      <c r="H118" s="42"/>
      <c r="I118" s="42"/>
      <c r="L118" s="43"/>
      <c r="P118" s="43"/>
      <c r="Q118" s="43"/>
      <c r="R118" s="43"/>
      <c r="S118" s="43"/>
      <c r="T118" s="43"/>
      <c r="U118" s="43"/>
      <c r="V118" s="149"/>
      <c r="W118" s="148"/>
      <c r="X118" s="148"/>
      <c r="Y118" s="149"/>
    </row>
    <row r="119" spans="1:25" s="36" customFormat="1" ht="30" customHeight="1" x14ac:dyDescent="0.25">
      <c r="A119" s="34"/>
      <c r="B119" s="378" t="s">
        <v>18</v>
      </c>
      <c r="C119" s="378">
        <f t="shared" si="6"/>
        <v>357</v>
      </c>
      <c r="D119" s="388">
        <f t="shared" si="7"/>
        <v>4548.5003925999999</v>
      </c>
      <c r="E119" s="378"/>
      <c r="G119" s="42"/>
      <c r="H119" s="42"/>
      <c r="I119" s="42"/>
      <c r="L119" s="43"/>
      <c r="P119" s="43"/>
      <c r="Q119" s="43"/>
      <c r="R119" s="43"/>
      <c r="S119" s="43"/>
      <c r="T119" s="43"/>
      <c r="U119" s="43"/>
      <c r="V119" s="149"/>
      <c r="W119" s="148"/>
      <c r="X119" s="148"/>
      <c r="Y119" s="149"/>
    </row>
    <row r="120" spans="1:25" s="36" customFormat="1" ht="30" customHeight="1" x14ac:dyDescent="0.25">
      <c r="A120" s="34"/>
      <c r="B120" s="387" t="s">
        <v>17</v>
      </c>
      <c r="C120" s="378">
        <f t="shared" si="6"/>
        <v>340</v>
      </c>
      <c r="D120" s="388">
        <f t="shared" si="7"/>
        <v>3479.33798368</v>
      </c>
      <c r="E120" s="378"/>
      <c r="G120" s="42"/>
      <c r="H120" s="42"/>
      <c r="I120" s="42"/>
      <c r="L120" s="43"/>
      <c r="P120" s="43"/>
      <c r="Q120" s="43"/>
      <c r="R120" s="43"/>
      <c r="S120" s="43"/>
      <c r="T120" s="43"/>
      <c r="U120" s="43"/>
      <c r="V120" s="149"/>
      <c r="W120" s="148"/>
      <c r="X120" s="148"/>
      <c r="Y120" s="149"/>
    </row>
    <row r="121" spans="1:25" s="36" customFormat="1" x14ac:dyDescent="0.25">
      <c r="A121" s="34"/>
      <c r="B121" s="430" t="s">
        <v>6</v>
      </c>
      <c r="C121" s="367">
        <f>SUM(C114:C120)</f>
        <v>1654</v>
      </c>
      <c r="D121" s="424">
        <f>SUM(D114:D120)</f>
        <v>18413.568399970001</v>
      </c>
      <c r="E121" s="378"/>
      <c r="G121" s="42"/>
      <c r="H121" s="42"/>
      <c r="I121" s="42"/>
      <c r="L121" s="43"/>
      <c r="P121" s="43"/>
      <c r="Q121" s="43"/>
      <c r="R121" s="43"/>
      <c r="S121" s="43"/>
      <c r="T121" s="43"/>
      <c r="U121" s="43"/>
      <c r="V121" s="149"/>
      <c r="W121" s="148"/>
      <c r="X121" s="148"/>
      <c r="Y121" s="149"/>
    </row>
    <row r="122" spans="1:25" ht="15" customHeight="1" x14ac:dyDescent="0.25">
      <c r="A122" s="15"/>
      <c r="C122" s="389"/>
      <c r="D122" s="389"/>
      <c r="E122" s="390"/>
      <c r="G122" s="19"/>
      <c r="H122" s="31"/>
      <c r="I122" s="31"/>
      <c r="J122" s="31"/>
      <c r="Q122" s="53"/>
      <c r="R122" s="53"/>
      <c r="S122" s="53"/>
      <c r="T122" s="53"/>
      <c r="U122" s="53"/>
      <c r="V122" s="53"/>
      <c r="W122" s="149"/>
      <c r="X122" s="148"/>
      <c r="Y122" s="148"/>
    </row>
    <row r="123" spans="1:25" ht="15" customHeight="1" x14ac:dyDescent="0.25">
      <c r="A123" s="15"/>
      <c r="B123" s="392"/>
      <c r="C123" s="389"/>
      <c r="D123" s="389"/>
      <c r="E123" s="390"/>
      <c r="G123" s="19"/>
      <c r="H123" s="31"/>
      <c r="I123" s="31"/>
      <c r="J123" s="31"/>
      <c r="Q123" s="53"/>
      <c r="R123" s="53"/>
      <c r="S123" s="53"/>
      <c r="T123" s="53"/>
      <c r="U123" s="53"/>
      <c r="V123" s="53"/>
      <c r="W123" s="149"/>
      <c r="X123" s="148"/>
      <c r="Y123" s="148"/>
    </row>
    <row r="124" spans="1:25" ht="15" customHeight="1" x14ac:dyDescent="0.25">
      <c r="A124" s="15"/>
      <c r="G124" s="19"/>
      <c r="H124" s="31"/>
      <c r="I124" s="31"/>
      <c r="J124" s="31"/>
      <c r="W124" s="149"/>
      <c r="X124" s="148"/>
      <c r="Y124" s="148"/>
    </row>
    <row r="125" spans="1:25" ht="26.25" customHeight="1" x14ac:dyDescent="0.25">
      <c r="A125" s="26"/>
      <c r="B125" s="649" t="s">
        <v>154</v>
      </c>
      <c r="C125" s="649"/>
      <c r="D125" s="649"/>
      <c r="E125" s="649"/>
      <c r="H125" s="12"/>
      <c r="I125" s="12"/>
      <c r="J125" s="12"/>
      <c r="X125" s="179"/>
      <c r="Y125" s="180"/>
    </row>
    <row r="126" spans="1:25" x14ac:dyDescent="0.25">
      <c r="A126" s="15"/>
      <c r="H126" s="12"/>
      <c r="I126" s="12"/>
      <c r="J126" s="12"/>
      <c r="X126" s="179"/>
      <c r="Y126" s="180"/>
    </row>
    <row r="127" spans="1:25" ht="15" customHeight="1" x14ac:dyDescent="0.35">
      <c r="A127" s="15"/>
      <c r="B127" s="429" t="s">
        <v>19</v>
      </c>
      <c r="C127" s="369" t="s">
        <v>3</v>
      </c>
      <c r="D127" s="423" t="s">
        <v>97</v>
      </c>
      <c r="E127" s="392"/>
      <c r="F127" s="12"/>
      <c r="H127" s="12"/>
      <c r="I127" s="12"/>
      <c r="L127" s="22"/>
      <c r="M127" s="19"/>
      <c r="P127" s="22"/>
      <c r="V127" s="163"/>
      <c r="W127" s="352" t="s">
        <v>113</v>
      </c>
      <c r="X127" s="352" t="s">
        <v>5</v>
      </c>
      <c r="Y127" s="352" t="s">
        <v>43</v>
      </c>
    </row>
    <row r="128" spans="1:25" ht="30" customHeight="1" x14ac:dyDescent="0.35">
      <c r="A128" s="15"/>
      <c r="B128" s="393" t="s">
        <v>20</v>
      </c>
      <c r="C128" s="378">
        <f>X134</f>
        <v>299</v>
      </c>
      <c r="D128" s="388">
        <f>Y134/1000000</f>
        <v>4357.7794920299993</v>
      </c>
      <c r="E128" s="392"/>
      <c r="F128" s="12"/>
      <c r="H128" s="12"/>
      <c r="I128" s="12"/>
      <c r="L128" s="22"/>
      <c r="M128" s="19"/>
      <c r="N128" s="68"/>
      <c r="P128" s="22"/>
      <c r="V128" s="163"/>
      <c r="W128" s="353" t="s">
        <v>112</v>
      </c>
      <c r="X128">
        <v>109</v>
      </c>
      <c r="Y128">
        <v>1233099518.01</v>
      </c>
    </row>
    <row r="129" spans="1:28" s="36" customFormat="1" ht="30" customHeight="1" x14ac:dyDescent="0.35">
      <c r="A129" s="34"/>
      <c r="B129" s="393" t="s">
        <v>21</v>
      </c>
      <c r="C129" s="378">
        <f>X129</f>
        <v>1113</v>
      </c>
      <c r="D129" s="388">
        <f>Y129/1000000</f>
        <v>11489.282986620001</v>
      </c>
      <c r="E129" s="378"/>
      <c r="L129" s="43"/>
      <c r="N129" s="132"/>
      <c r="P129" s="43"/>
      <c r="Q129" s="43"/>
      <c r="R129" s="43"/>
      <c r="S129" s="43"/>
      <c r="T129" s="43"/>
      <c r="U129" s="43"/>
      <c r="V129" s="166"/>
      <c r="W129" s="353" t="s">
        <v>99</v>
      </c>
      <c r="X129">
        <v>1113</v>
      </c>
      <c r="Y129">
        <v>11489282986.620001</v>
      </c>
      <c r="Z129" s="151"/>
      <c r="AA129" s="19"/>
      <c r="AB129" s="19"/>
    </row>
    <row r="130" spans="1:28" s="36" customFormat="1" ht="30" customHeight="1" x14ac:dyDescent="0.35">
      <c r="A130" s="34"/>
      <c r="B130" s="393" t="s">
        <v>22</v>
      </c>
      <c r="C130" s="378">
        <f>X132</f>
        <v>95</v>
      </c>
      <c r="D130" s="388">
        <f>Y132/1000000</f>
        <v>910.87340330999996</v>
      </c>
      <c r="E130" s="378"/>
      <c r="L130" s="43"/>
      <c r="N130" s="132"/>
      <c r="P130" s="43"/>
      <c r="Q130" s="43"/>
      <c r="R130" s="43"/>
      <c r="S130" s="43"/>
      <c r="T130" s="43"/>
      <c r="U130" s="43"/>
      <c r="V130" s="166"/>
      <c r="W130" s="353" t="s">
        <v>199</v>
      </c>
      <c r="X130">
        <v>10</v>
      </c>
      <c r="Y130">
        <v>104050000</v>
      </c>
      <c r="Z130" s="151"/>
      <c r="AA130" s="19"/>
      <c r="AB130" s="19"/>
    </row>
    <row r="131" spans="1:28" s="36" customFormat="1" ht="30" customHeight="1" x14ac:dyDescent="0.35">
      <c r="A131" s="34"/>
      <c r="B131" s="393" t="s">
        <v>23</v>
      </c>
      <c r="C131" s="378">
        <f>X128</f>
        <v>109</v>
      </c>
      <c r="D131" s="388">
        <f>Y128/1000000</f>
        <v>1233.0995180099999</v>
      </c>
      <c r="E131" s="378"/>
      <c r="L131" s="43"/>
      <c r="N131" s="132"/>
      <c r="P131" s="43"/>
      <c r="Q131" s="43"/>
      <c r="R131" s="43"/>
      <c r="S131" s="43"/>
      <c r="T131" s="43"/>
      <c r="U131" s="43"/>
      <c r="V131" s="166"/>
      <c r="W131" s="353" t="s">
        <v>114</v>
      </c>
      <c r="X131">
        <v>28</v>
      </c>
      <c r="Y131">
        <v>318483000</v>
      </c>
      <c r="Z131" s="151"/>
      <c r="AA131" s="19"/>
      <c r="AB131" s="19"/>
    </row>
    <row r="132" spans="1:28" s="36" customFormat="1" ht="30" customHeight="1" x14ac:dyDescent="0.35">
      <c r="A132" s="34"/>
      <c r="B132" s="393" t="s">
        <v>110</v>
      </c>
      <c r="C132" s="378">
        <f>X130+X131+X133</f>
        <v>38</v>
      </c>
      <c r="D132" s="388">
        <f>(Y130+Y131+Y133)/1000000</f>
        <v>422.53300000000002</v>
      </c>
      <c r="E132" s="378"/>
      <c r="L132" s="43"/>
      <c r="N132" s="119"/>
      <c r="P132" s="43"/>
      <c r="Q132" s="43"/>
      <c r="R132" s="43"/>
      <c r="S132" s="43"/>
      <c r="T132" s="43"/>
      <c r="U132" s="43"/>
      <c r="V132" s="166"/>
      <c r="W132" s="353" t="s">
        <v>100</v>
      </c>
      <c r="X132">
        <v>95</v>
      </c>
      <c r="Y132">
        <v>910873403.30999994</v>
      </c>
      <c r="Z132" s="151"/>
      <c r="AA132" s="19"/>
      <c r="AB132" s="19"/>
    </row>
    <row r="133" spans="1:28" s="36" customFormat="1" ht="30" customHeight="1" x14ac:dyDescent="0.35">
      <c r="A133" s="34"/>
      <c r="B133" s="393" t="s">
        <v>111</v>
      </c>
      <c r="C133" s="378">
        <v>0</v>
      </c>
      <c r="D133" s="388">
        <v>0</v>
      </c>
      <c r="E133" s="378"/>
      <c r="L133" s="43"/>
      <c r="N133" s="43"/>
      <c r="P133" s="43"/>
      <c r="Q133" s="43"/>
      <c r="R133" s="43"/>
      <c r="S133" s="43"/>
      <c r="T133" s="43"/>
      <c r="U133" s="43"/>
      <c r="V133" s="166"/>
      <c r="W133" s="353" t="s">
        <v>119</v>
      </c>
      <c r="X133" s="406">
        <v>0</v>
      </c>
      <c r="Y133" s="406">
        <v>0</v>
      </c>
      <c r="Z133" s="151"/>
      <c r="AA133" s="19"/>
      <c r="AB133" s="19"/>
    </row>
    <row r="134" spans="1:28" s="36" customFormat="1" ht="30" customHeight="1" x14ac:dyDescent="0.35">
      <c r="A134" s="34"/>
      <c r="B134" s="393" t="s">
        <v>194</v>
      </c>
      <c r="C134" s="378">
        <v>0</v>
      </c>
      <c r="D134" s="388">
        <v>0</v>
      </c>
      <c r="E134" s="378"/>
      <c r="L134" s="43"/>
      <c r="N134" s="132"/>
      <c r="P134" s="43"/>
      <c r="Q134" s="43"/>
      <c r="R134" s="43"/>
      <c r="S134" s="43"/>
      <c r="T134" s="43"/>
      <c r="U134" s="43"/>
      <c r="V134" s="166"/>
      <c r="W134" s="353" t="s">
        <v>103</v>
      </c>
      <c r="X134">
        <v>299</v>
      </c>
      <c r="Y134">
        <v>4357779492.0299997</v>
      </c>
      <c r="Z134" s="151"/>
      <c r="AA134" s="19"/>
      <c r="AB134" s="19"/>
    </row>
    <row r="135" spans="1:28" s="36" customFormat="1" ht="15" customHeight="1" x14ac:dyDescent="0.25">
      <c r="A135" s="34"/>
      <c r="B135" s="431" t="s">
        <v>6</v>
      </c>
      <c r="C135" s="394">
        <f>SUM(C128:C134)</f>
        <v>1654</v>
      </c>
      <c r="D135" s="432">
        <f>SUM(D128:D134)</f>
        <v>18413.568399970001</v>
      </c>
      <c r="E135" s="378"/>
      <c r="L135" s="43"/>
      <c r="P135" s="43"/>
      <c r="Q135" s="43"/>
      <c r="R135" s="43"/>
      <c r="S135" s="43"/>
      <c r="T135" s="43"/>
      <c r="U135" s="43"/>
      <c r="V135" s="166"/>
      <c r="W135" s="245" t="s">
        <v>6</v>
      </c>
      <c r="X135" s="246">
        <f>SUM(X128:X134)</f>
        <v>1654</v>
      </c>
      <c r="Y135" s="244">
        <f>SUM(Y128:Y134)</f>
        <v>18413568399.970001</v>
      </c>
      <c r="Z135" s="151"/>
      <c r="AA135" s="19"/>
      <c r="AB135" s="19"/>
    </row>
    <row r="136" spans="1:28" ht="15" customHeight="1" x14ac:dyDescent="0.25">
      <c r="A136" s="15"/>
      <c r="F136" s="12"/>
      <c r="H136" s="12"/>
      <c r="I136" s="12"/>
      <c r="J136" s="12"/>
    </row>
    <row r="137" spans="1:28" ht="15" customHeight="1" x14ac:dyDescent="0.25">
      <c r="A137" s="15"/>
      <c r="G137" s="161"/>
      <c r="H137" s="12"/>
      <c r="I137" s="12"/>
      <c r="J137" s="12"/>
      <c r="Q137" s="23"/>
      <c r="R137" s="23"/>
      <c r="S137" s="23"/>
      <c r="T137" s="23"/>
      <c r="U137" s="23"/>
      <c r="V137" s="23"/>
      <c r="X137" s="181"/>
      <c r="Y137" s="181"/>
      <c r="Z137" s="181"/>
    </row>
    <row r="138" spans="1:28" ht="15" customHeight="1" x14ac:dyDescent="0.25">
      <c r="A138" s="15"/>
      <c r="H138" s="12"/>
      <c r="I138" s="12"/>
      <c r="J138" s="12"/>
      <c r="X138" s="181"/>
      <c r="Y138" s="181"/>
      <c r="Z138" s="181"/>
    </row>
    <row r="139" spans="1:28" ht="26.25" customHeight="1" x14ac:dyDescent="0.25">
      <c r="A139" s="26"/>
      <c r="B139" s="648" t="s">
        <v>155</v>
      </c>
      <c r="C139" s="648"/>
      <c r="D139" s="648"/>
      <c r="E139" s="648"/>
      <c r="H139" s="12"/>
      <c r="I139" s="12"/>
      <c r="J139" s="12"/>
      <c r="X139" s="181"/>
      <c r="Y139" s="181"/>
      <c r="Z139" s="181"/>
    </row>
    <row r="140" spans="1:28" x14ac:dyDescent="0.25">
      <c r="A140" s="15"/>
      <c r="H140" s="12"/>
      <c r="I140" s="12"/>
      <c r="J140" s="12"/>
      <c r="X140" s="181"/>
      <c r="Y140" s="181"/>
      <c r="Z140" s="181"/>
    </row>
    <row r="141" spans="1:28" ht="15" customHeight="1" x14ac:dyDescent="0.25">
      <c r="A141" s="15"/>
      <c r="B141" s="429" t="s">
        <v>24</v>
      </c>
      <c r="C141" s="369" t="s">
        <v>3</v>
      </c>
      <c r="D141" s="433" t="s">
        <v>97</v>
      </c>
      <c r="F141" s="12"/>
      <c r="H141" s="12"/>
      <c r="I141" s="12"/>
      <c r="L141" s="22"/>
      <c r="M141" s="19"/>
      <c r="P141" s="22"/>
      <c r="V141" s="163"/>
      <c r="W141" s="151"/>
      <c r="Y141" s="163"/>
      <c r="AA141" s="19"/>
      <c r="AB141" s="16"/>
    </row>
    <row r="142" spans="1:28" ht="30" customHeight="1" x14ac:dyDescent="0.35">
      <c r="A142" s="15"/>
      <c r="B142" s="395" t="s">
        <v>26</v>
      </c>
      <c r="C142" s="378">
        <f t="shared" ref="C142:D144" si="8">X144</f>
        <v>1019</v>
      </c>
      <c r="D142" s="388">
        <f t="shared" si="8"/>
        <v>11763184267.15</v>
      </c>
      <c r="F142" s="12"/>
      <c r="H142" s="12"/>
      <c r="I142" s="12"/>
      <c r="L142" s="22"/>
      <c r="M142" s="19"/>
      <c r="P142" s="22"/>
      <c r="V142" s="163"/>
      <c r="W142" s="350" t="s">
        <v>25</v>
      </c>
      <c r="X142" s="350" t="s">
        <v>208</v>
      </c>
      <c r="Y142" s="350" t="s">
        <v>43</v>
      </c>
      <c r="AA142" s="19"/>
    </row>
    <row r="143" spans="1:28" ht="30" customHeight="1" x14ac:dyDescent="0.35">
      <c r="A143" s="15"/>
      <c r="B143" s="395" t="s">
        <v>273</v>
      </c>
      <c r="C143" s="378">
        <f t="shared" si="8"/>
        <v>21</v>
      </c>
      <c r="D143" s="388">
        <f t="shared" si="8"/>
        <v>234553114.38</v>
      </c>
      <c r="F143" s="12"/>
      <c r="H143" s="12"/>
      <c r="I143" s="12"/>
      <c r="L143" s="22"/>
      <c r="M143" s="19"/>
      <c r="O143" s="5"/>
      <c r="P143" s="22"/>
      <c r="V143" s="163"/>
      <c r="W143" s="405" t="s">
        <v>25</v>
      </c>
      <c r="X143" s="405" t="s">
        <v>208</v>
      </c>
      <c r="Y143" s="405" t="s">
        <v>43</v>
      </c>
      <c r="AA143" s="19"/>
    </row>
    <row r="144" spans="1:28" ht="30" customHeight="1" x14ac:dyDescent="0.35">
      <c r="A144" s="15"/>
      <c r="B144" s="395" t="s">
        <v>27</v>
      </c>
      <c r="C144" s="378">
        <f t="shared" si="8"/>
        <v>614</v>
      </c>
      <c r="D144" s="388">
        <f t="shared" si="8"/>
        <v>6415831018.4399996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66"/>
      <c r="W144" s="351" t="s">
        <v>96</v>
      </c>
      <c r="X144">
        <v>1019</v>
      </c>
      <c r="Y144" s="414">
        <v>11763184267.15</v>
      </c>
      <c r="AA144" s="19"/>
    </row>
    <row r="145" spans="1:28" ht="30" customHeight="1" x14ac:dyDescent="0.35">
      <c r="A145" s="15"/>
      <c r="B145" s="395" t="s">
        <v>157</v>
      </c>
      <c r="C145" s="378">
        <v>0</v>
      </c>
      <c r="D145" s="388">
        <v>0</v>
      </c>
      <c r="F145" s="12"/>
      <c r="H145" s="12"/>
      <c r="I145" s="12"/>
      <c r="L145" s="22"/>
      <c r="M145" s="19"/>
      <c r="O145" s="61"/>
      <c r="P145" s="17"/>
      <c r="Q145" s="17"/>
      <c r="R145" s="17"/>
      <c r="S145" s="17"/>
      <c r="T145" s="17"/>
      <c r="U145" s="17"/>
      <c r="V145" s="166"/>
      <c r="W145" s="351" t="s">
        <v>271</v>
      </c>
      <c r="X145" s="415">
        <v>21</v>
      </c>
      <c r="Y145" s="416">
        <v>234553114.38</v>
      </c>
      <c r="AA145" s="19"/>
      <c r="AB145" s="5"/>
    </row>
    <row r="146" spans="1:28" ht="15" customHeight="1" x14ac:dyDescent="0.25">
      <c r="A146" s="15"/>
      <c r="B146" s="429" t="s">
        <v>6</v>
      </c>
      <c r="C146" s="394">
        <f>SUM(C142:C145)</f>
        <v>1654</v>
      </c>
      <c r="D146" s="432">
        <f>SUM(D142:D145)</f>
        <v>18413568399.969997</v>
      </c>
      <c r="F146" s="12"/>
      <c r="H146" s="12"/>
      <c r="I146" s="12"/>
      <c r="L146" s="22"/>
      <c r="M146" s="19"/>
      <c r="O146" s="61"/>
      <c r="P146" s="17"/>
      <c r="Q146" s="17"/>
      <c r="R146" s="17"/>
      <c r="S146" s="17"/>
      <c r="T146" s="17"/>
      <c r="U146" s="17"/>
      <c r="V146" s="166"/>
      <c r="W146" s="247" t="s">
        <v>95</v>
      </c>
      <c r="X146" s="417">
        <v>614</v>
      </c>
      <c r="Y146" s="418">
        <v>6415831018.4399996</v>
      </c>
      <c r="AA146" s="19"/>
      <c r="AB146" s="5"/>
    </row>
    <row r="147" spans="1:28" ht="15" customHeight="1" x14ac:dyDescent="0.25">
      <c r="A147" s="15"/>
      <c r="B147" s="551" t="s">
        <v>279</v>
      </c>
      <c r="C147" s="396"/>
      <c r="D147" s="396"/>
      <c r="E147" s="397"/>
      <c r="H147" s="12"/>
      <c r="I147" s="12"/>
      <c r="J147" s="12"/>
      <c r="W147" s="245" t="s">
        <v>6</v>
      </c>
      <c r="X147" s="248">
        <f>SUM(X144:X146)</f>
        <v>1654</v>
      </c>
      <c r="Y147" s="249">
        <f>SUM(Y144:Y146)</f>
        <v>18413568399.969997</v>
      </c>
      <c r="AB147" s="5"/>
    </row>
    <row r="148" spans="1:28" ht="15" customHeight="1" x14ac:dyDescent="0.25">
      <c r="A148" s="15"/>
      <c r="B148" s="692" t="s">
        <v>156</v>
      </c>
      <c r="C148" s="692"/>
      <c r="D148" s="692"/>
      <c r="E148" s="692"/>
      <c r="H148" s="12"/>
      <c r="I148" s="12"/>
      <c r="J148" s="12"/>
      <c r="Z148" s="163"/>
    </row>
    <row r="149" spans="1:28" ht="29.15" customHeight="1" x14ac:dyDescent="0.25">
      <c r="A149" s="15"/>
      <c r="B149" s="692"/>
      <c r="C149" s="692"/>
      <c r="D149" s="692"/>
      <c r="E149" s="692"/>
      <c r="G149" s="64"/>
      <c r="H149" s="12"/>
      <c r="I149" s="12"/>
      <c r="J149" s="12"/>
      <c r="W149" s="174"/>
      <c r="AA149" s="152"/>
    </row>
    <row r="150" spans="1:28" ht="18" customHeight="1" x14ac:dyDescent="0.25">
      <c r="A150" s="15"/>
      <c r="B150" s="692"/>
      <c r="C150" s="692"/>
      <c r="D150" s="692"/>
      <c r="E150" s="692"/>
      <c r="H150" s="12"/>
      <c r="I150" s="12"/>
      <c r="J150" s="12"/>
    </row>
    <row r="151" spans="1:28" ht="18" customHeight="1" x14ac:dyDescent="0.25">
      <c r="A151" s="15"/>
      <c r="E151" s="449"/>
      <c r="H151" s="12"/>
      <c r="I151" s="12"/>
      <c r="J151" s="12"/>
    </row>
    <row r="152" spans="1:28" ht="18" customHeight="1" x14ac:dyDescent="0.25">
      <c r="A152" s="15"/>
      <c r="B152" s="450"/>
      <c r="C152" s="451"/>
      <c r="D152" s="451"/>
      <c r="E152" s="384"/>
      <c r="I152" s="65"/>
      <c r="J152" s="63"/>
    </row>
    <row r="153" spans="1:28" ht="18" customHeight="1" x14ac:dyDescent="0.25">
      <c r="A153" s="15"/>
      <c r="B153" s="450"/>
      <c r="C153" s="395"/>
      <c r="D153" s="395"/>
      <c r="E153" s="384"/>
      <c r="I153" s="65"/>
      <c r="J153" s="63"/>
    </row>
    <row r="154" spans="1:28" ht="18" customHeight="1" x14ac:dyDescent="0.25">
      <c r="A154" s="15"/>
      <c r="B154" s="450"/>
      <c r="C154" s="395"/>
      <c r="D154" s="395"/>
      <c r="E154" s="384"/>
      <c r="I154" s="65"/>
      <c r="J154" s="63"/>
    </row>
    <row r="155" spans="1:28" ht="18" customHeight="1" x14ac:dyDescent="0.25">
      <c r="A155" s="15"/>
      <c r="B155" s="450"/>
      <c r="C155" s="395"/>
      <c r="D155" s="395"/>
      <c r="E155" s="449"/>
      <c r="I155" s="65"/>
      <c r="J155" s="12"/>
    </row>
    <row r="156" spans="1:28" ht="26.25" customHeight="1" x14ac:dyDescent="0.25">
      <c r="A156" s="26"/>
      <c r="B156" s="650" t="s">
        <v>181</v>
      </c>
      <c r="C156" s="651"/>
      <c r="D156" s="651"/>
      <c r="E156" s="651"/>
      <c r="J156" s="12"/>
      <c r="W156" s="182"/>
      <c r="X156" s="183"/>
      <c r="Y156" s="184"/>
      <c r="Z156" s="163"/>
    </row>
    <row r="157" spans="1:28" ht="15" customHeight="1" x14ac:dyDescent="0.25">
      <c r="A157" s="15"/>
      <c r="E157" s="452"/>
      <c r="J157" s="12"/>
      <c r="W157" s="182"/>
      <c r="X157" s="278" t="s">
        <v>57</v>
      </c>
      <c r="Y157" s="279" t="s">
        <v>58</v>
      </c>
      <c r="Z157" s="280" t="s">
        <v>43</v>
      </c>
    </row>
    <row r="158" spans="1:28" ht="15" customHeight="1" x14ac:dyDescent="0.25">
      <c r="A158" s="26"/>
      <c r="B158" s="453" t="s">
        <v>121</v>
      </c>
      <c r="C158" s="454" t="s">
        <v>3</v>
      </c>
      <c r="D158" s="423" t="s">
        <v>97</v>
      </c>
      <c r="G158" s="19"/>
      <c r="H158" s="19"/>
      <c r="I158" s="12"/>
      <c r="L158" s="22"/>
      <c r="M158" s="19"/>
      <c r="P158" s="22"/>
      <c r="V158" s="166">
        <f>+C159/C163</f>
        <v>0.55562273276904472</v>
      </c>
      <c r="W158" s="320" t="s">
        <v>213</v>
      </c>
      <c r="X158">
        <v>919</v>
      </c>
      <c r="Y158">
        <v>9938841046.9699821</v>
      </c>
      <c r="AA158" s="19"/>
    </row>
    <row r="159" spans="1:28" ht="30" customHeight="1" x14ac:dyDescent="0.25">
      <c r="A159" s="15"/>
      <c r="B159" s="455" t="s">
        <v>117</v>
      </c>
      <c r="C159" s="378">
        <v>919</v>
      </c>
      <c r="D159" s="388">
        <v>9938841046.9699821</v>
      </c>
      <c r="G159" s="19"/>
      <c r="H159" s="19"/>
      <c r="I159" s="12"/>
      <c r="L159" s="22"/>
      <c r="M159" s="19"/>
      <c r="P159" s="22"/>
      <c r="V159" s="166">
        <f>+C160/C163</f>
        <v>0.38573155985489721</v>
      </c>
      <c r="W159" s="320" t="s">
        <v>214</v>
      </c>
      <c r="X159">
        <v>638</v>
      </c>
      <c r="Y159">
        <v>7199017163.6299982</v>
      </c>
      <c r="AA159" s="19"/>
    </row>
    <row r="160" spans="1:28" s="36" customFormat="1" ht="30" customHeight="1" x14ac:dyDescent="0.25">
      <c r="A160" s="34"/>
      <c r="B160" s="455" t="s">
        <v>118</v>
      </c>
      <c r="C160" s="378">
        <v>638</v>
      </c>
      <c r="D160" s="388">
        <v>7199017163.6299982</v>
      </c>
      <c r="E160" s="378"/>
      <c r="L160" s="43"/>
      <c r="P160" s="43"/>
      <c r="Q160" s="43"/>
      <c r="R160" s="43"/>
      <c r="S160" s="43"/>
      <c r="T160" s="43"/>
      <c r="U160" s="43"/>
      <c r="V160" s="166">
        <f>+C161/C163</f>
        <v>5.8645707376058044E-2</v>
      </c>
      <c r="W160" s="320" t="s">
        <v>215</v>
      </c>
      <c r="X160">
        <v>97</v>
      </c>
      <c r="Y160">
        <v>1275710189.3699999</v>
      </c>
      <c r="Z160" s="148"/>
      <c r="AA160" s="19"/>
      <c r="AB160" s="19"/>
    </row>
    <row r="161" spans="1:33" s="36" customFormat="1" ht="30" customHeight="1" x14ac:dyDescent="0.25">
      <c r="A161" s="34"/>
      <c r="B161" s="455" t="s">
        <v>116</v>
      </c>
      <c r="C161" s="378">
        <v>97</v>
      </c>
      <c r="D161" s="388">
        <v>1275710189.3699999</v>
      </c>
      <c r="E161" s="378"/>
      <c r="L161" s="43"/>
      <c r="P161" s="43"/>
      <c r="Q161" s="43"/>
      <c r="R161" s="43"/>
      <c r="S161" s="43"/>
      <c r="T161" s="43"/>
      <c r="U161" s="43"/>
      <c r="V161" s="166">
        <f>+C162/C163</f>
        <v>0</v>
      </c>
      <c r="W161" s="187" t="s">
        <v>158</v>
      </c>
      <c r="X161" s="286">
        <v>0</v>
      </c>
      <c r="Y161" s="189">
        <v>0</v>
      </c>
      <c r="Z161" s="148"/>
      <c r="AA161" s="19"/>
      <c r="AB161" s="19"/>
      <c r="AC161" s="19"/>
    </row>
    <row r="162" spans="1:33" s="36" customFormat="1" ht="30" customHeight="1" x14ac:dyDescent="0.25">
      <c r="A162" s="34"/>
      <c r="B162" s="455" t="s">
        <v>158</v>
      </c>
      <c r="C162" s="378">
        <f>+X161</f>
        <v>0</v>
      </c>
      <c r="D162" s="388">
        <f>Y161</f>
        <v>0</v>
      </c>
      <c r="E162" s="378"/>
      <c r="L162" s="43"/>
      <c r="P162" s="43"/>
      <c r="Q162" s="43"/>
      <c r="R162" s="43"/>
      <c r="S162" s="43"/>
      <c r="T162" s="43"/>
      <c r="U162" s="43"/>
      <c r="V162" s="188">
        <f>SUM(V158:V161)</f>
        <v>1</v>
      </c>
      <c r="W162" s="283" t="s">
        <v>6</v>
      </c>
      <c r="X162" s="284">
        <f>SUM(X158:X161)</f>
        <v>1654</v>
      </c>
      <c r="Y162" s="285">
        <f>SUM(Y158:Y161)</f>
        <v>18413568399.969978</v>
      </c>
      <c r="Z162" s="148"/>
      <c r="AA162" s="19"/>
      <c r="AB162" s="19"/>
      <c r="AC162" s="19"/>
    </row>
    <row r="163" spans="1:33" s="36" customFormat="1" ht="15" customHeight="1" x14ac:dyDescent="0.25">
      <c r="A163" s="34"/>
      <c r="B163" s="456" t="s">
        <v>6</v>
      </c>
      <c r="C163" s="457">
        <f>SUM(C159:C162)</f>
        <v>1654</v>
      </c>
      <c r="D163" s="432">
        <f>SUM(D159:D162)</f>
        <v>18413568399.969978</v>
      </c>
      <c r="E163" s="378"/>
      <c r="L163" s="43"/>
      <c r="P163" s="97"/>
      <c r="Q163" s="97"/>
      <c r="R163" s="97"/>
      <c r="S163" s="97"/>
      <c r="T163" s="97"/>
      <c r="U163" s="97"/>
      <c r="V163" s="189">
        <f>+D163-D303</f>
        <v>18413565173.831978</v>
      </c>
      <c r="W163" s="281"/>
      <c r="X163" s="282"/>
      <c r="Y163" s="277"/>
      <c r="Z163" s="148"/>
      <c r="AA163" s="19"/>
      <c r="AB163" s="19"/>
      <c r="AC163" s="19"/>
    </row>
    <row r="164" spans="1:33" ht="15" customHeight="1" x14ac:dyDescent="0.25">
      <c r="A164" s="15"/>
      <c r="C164" s="458"/>
      <c r="D164" s="458"/>
      <c r="E164" s="458"/>
      <c r="F164" s="48"/>
      <c r="G164" s="19"/>
      <c r="H164" s="19"/>
      <c r="J164" s="12"/>
      <c r="X164" s="183"/>
      <c r="Y164" s="184"/>
      <c r="Z164" s="163"/>
    </row>
    <row r="165" spans="1:33" ht="15" customHeight="1" x14ac:dyDescent="0.25">
      <c r="A165" s="15"/>
      <c r="B165" s="458"/>
      <c r="C165" s="458"/>
      <c r="D165" s="458"/>
      <c r="E165" s="458"/>
      <c r="F165" s="48"/>
      <c r="G165" s="19"/>
      <c r="H165" s="19"/>
      <c r="J165" s="12"/>
      <c r="W165" s="182"/>
      <c r="X165" s="183"/>
      <c r="Y165" s="184"/>
      <c r="Z165" s="163"/>
    </row>
    <row r="166" spans="1:33" s="272" customFormat="1" ht="25.5" customHeight="1" x14ac:dyDescent="0.3">
      <c r="A166" s="270"/>
      <c r="B166" s="691" t="s">
        <v>278</v>
      </c>
      <c r="C166" s="691"/>
      <c r="D166" s="691"/>
      <c r="E166" s="691"/>
      <c r="F166" s="271"/>
      <c r="G166" s="271"/>
      <c r="H166" s="271"/>
      <c r="I166" s="271"/>
      <c r="J166" s="271"/>
      <c r="M166" s="273"/>
      <c r="Q166" s="273"/>
      <c r="R166" s="273"/>
      <c r="S166" s="273"/>
      <c r="T166" s="273"/>
      <c r="U166" s="273"/>
      <c r="V166" s="273"/>
      <c r="W166" s="274"/>
      <c r="X166" s="268"/>
      <c r="Y166" s="268"/>
      <c r="Z166" s="268"/>
      <c r="AA166" s="268"/>
    </row>
    <row r="167" spans="1:33" s="12" customFormat="1" ht="54" customHeight="1" x14ac:dyDescent="0.25">
      <c r="A167" s="265"/>
      <c r="B167" s="691" t="s">
        <v>156</v>
      </c>
      <c r="C167" s="691"/>
      <c r="D167" s="691"/>
      <c r="E167" s="691"/>
      <c r="F167" s="162"/>
      <c r="G167" s="162"/>
      <c r="H167" s="162"/>
      <c r="I167" s="162"/>
      <c r="J167" s="162"/>
      <c r="K167" s="162"/>
      <c r="L167" s="162"/>
      <c r="M167" s="291"/>
      <c r="Q167" s="266"/>
      <c r="R167" s="266"/>
      <c r="S167" s="266"/>
      <c r="T167" s="266"/>
      <c r="U167" s="266"/>
      <c r="V167" s="266"/>
      <c r="W167" s="267"/>
      <c r="X167" s="269"/>
      <c r="Y167" s="269"/>
      <c r="Z167" s="276"/>
      <c r="AA167" s="269"/>
    </row>
    <row r="168" spans="1:33" ht="23.25" customHeight="1" x14ac:dyDescent="0.3">
      <c r="A168" s="15"/>
      <c r="B168" s="458"/>
      <c r="C168" s="458"/>
      <c r="D168" s="458"/>
      <c r="E168" s="458"/>
      <c r="F168" s="275"/>
      <c r="G168" s="48"/>
      <c r="H168" s="162"/>
      <c r="I168" s="162"/>
      <c r="J168" s="162"/>
      <c r="K168" s="162"/>
      <c r="L168" s="162"/>
      <c r="M168" s="291"/>
      <c r="W168" s="182"/>
      <c r="X168" s="157"/>
      <c r="Y168" s="157"/>
      <c r="Z168" s="190"/>
    </row>
    <row r="169" spans="1:33" ht="26.25" customHeight="1" x14ac:dyDescent="0.25">
      <c r="A169" s="26"/>
      <c r="B169" s="660" t="s">
        <v>182</v>
      </c>
      <c r="C169" s="660"/>
      <c r="D169" s="660"/>
      <c r="E169" s="660"/>
      <c r="J169" s="14"/>
      <c r="W169" s="182"/>
      <c r="X169" s="191"/>
      <c r="Y169" s="191"/>
      <c r="Z169" s="191"/>
    </row>
    <row r="170" spans="1:33" ht="15" customHeight="1" x14ac:dyDescent="0.25">
      <c r="A170" s="15"/>
      <c r="E170" s="452"/>
      <c r="J170" s="14"/>
      <c r="W170" s="182"/>
      <c r="X170" s="191"/>
      <c r="Y170" s="191"/>
      <c r="Z170" s="191"/>
    </row>
    <row r="171" spans="1:33" ht="32.25" customHeight="1" x14ac:dyDescent="0.25">
      <c r="A171" s="15"/>
      <c r="B171" s="287" t="s">
        <v>134</v>
      </c>
      <c r="C171" s="686" t="s">
        <v>117</v>
      </c>
      <c r="D171" s="687"/>
      <c r="E171" s="645" t="s">
        <v>118</v>
      </c>
      <c r="F171" s="646"/>
      <c r="G171" s="645" t="s">
        <v>116</v>
      </c>
      <c r="H171" s="646"/>
      <c r="I171" s="645" t="s">
        <v>120</v>
      </c>
      <c r="J171" s="646"/>
      <c r="K171" s="645" t="s">
        <v>6</v>
      </c>
      <c r="L171" s="646"/>
      <c r="M171" s="29"/>
      <c r="W171" s="192"/>
      <c r="X171" s="679"/>
      <c r="Y171" s="679"/>
      <c r="Z171" s="679"/>
      <c r="AA171" s="679"/>
      <c r="AB171" s="677"/>
      <c r="AC171" s="677"/>
      <c r="AD171" s="677"/>
      <c r="AE171" s="677"/>
      <c r="AF171" s="678"/>
      <c r="AG171" s="678"/>
    </row>
    <row r="172" spans="1:33" ht="15" customHeight="1" x14ac:dyDescent="0.25">
      <c r="A172" s="15"/>
      <c r="B172" s="459" t="s">
        <v>19</v>
      </c>
      <c r="C172" s="459" t="s">
        <v>58</v>
      </c>
      <c r="D172" s="460" t="s">
        <v>43</v>
      </c>
      <c r="E172" s="459" t="s">
        <v>58</v>
      </c>
      <c r="F172" s="289" t="s">
        <v>43</v>
      </c>
      <c r="G172" s="288" t="s">
        <v>58</v>
      </c>
      <c r="H172" s="289" t="s">
        <v>43</v>
      </c>
      <c r="I172" s="288" t="s">
        <v>58</v>
      </c>
      <c r="J172" s="289" t="s">
        <v>43</v>
      </c>
      <c r="K172" s="290" t="s">
        <v>58</v>
      </c>
      <c r="L172" s="292" t="s">
        <v>43</v>
      </c>
      <c r="M172" s="19"/>
      <c r="P172" s="22"/>
      <c r="V172" s="193"/>
      <c r="W172" s="193"/>
      <c r="X172" s="194"/>
      <c r="Y172" s="193"/>
      <c r="Z172" s="194"/>
      <c r="AA172" s="125"/>
      <c r="AB172" s="126"/>
      <c r="AC172" s="125"/>
      <c r="AD172" s="126"/>
      <c r="AE172" s="127"/>
      <c r="AF172" s="128"/>
    </row>
    <row r="173" spans="1:33" s="29" customFormat="1" ht="31.5" customHeight="1" x14ac:dyDescent="0.25">
      <c r="A173" s="41"/>
      <c r="B173" s="461" t="s">
        <v>135</v>
      </c>
      <c r="C173" s="462">
        <v>27</v>
      </c>
      <c r="D173" s="463">
        <v>327.75944897999995</v>
      </c>
      <c r="E173" s="464">
        <v>60</v>
      </c>
      <c r="F173" s="135">
        <v>688.81732982000005</v>
      </c>
      <c r="G173" s="134">
        <v>22</v>
      </c>
      <c r="H173" s="135">
        <v>216.52273921</v>
      </c>
      <c r="I173" s="134">
        <v>0</v>
      </c>
      <c r="J173" s="136">
        <v>0</v>
      </c>
      <c r="K173" s="134">
        <v>109</v>
      </c>
      <c r="L173" s="135">
        <v>1233.0995180100001</v>
      </c>
      <c r="P173" s="67"/>
      <c r="Q173" s="67"/>
      <c r="R173" s="67"/>
      <c r="S173" s="67"/>
      <c r="T173" s="67"/>
      <c r="U173" s="67"/>
      <c r="V173" s="195"/>
      <c r="W173" s="196"/>
      <c r="X173" s="197"/>
      <c r="Y173" s="196"/>
      <c r="Z173" s="197"/>
      <c r="AA173" s="129"/>
      <c r="AB173" s="130"/>
      <c r="AC173" s="129"/>
      <c r="AD173" s="131"/>
      <c r="AE173" s="131"/>
      <c r="AF173" s="52"/>
      <c r="AG173" s="52"/>
    </row>
    <row r="174" spans="1:33" s="29" customFormat="1" ht="30" customHeight="1" x14ac:dyDescent="0.25">
      <c r="A174" s="41"/>
      <c r="B174" s="461" t="s">
        <v>136</v>
      </c>
      <c r="C174" s="462">
        <v>179</v>
      </c>
      <c r="D174" s="463">
        <v>2279.9032761800008</v>
      </c>
      <c r="E174" s="464">
        <v>107</v>
      </c>
      <c r="F174" s="135">
        <v>1787.4327524999987</v>
      </c>
      <c r="G174" s="134">
        <v>13</v>
      </c>
      <c r="H174" s="135">
        <v>290.44346335</v>
      </c>
      <c r="I174" s="134">
        <v>0</v>
      </c>
      <c r="J174" s="136">
        <v>0</v>
      </c>
      <c r="K174" s="134">
        <v>299</v>
      </c>
      <c r="L174" s="135">
        <v>4357.7794920300003</v>
      </c>
      <c r="P174" s="67"/>
      <c r="Q174" s="67"/>
      <c r="R174" s="67"/>
      <c r="S174" s="67"/>
      <c r="T174" s="67"/>
      <c r="U174" s="67"/>
      <c r="V174" s="195"/>
      <c r="W174" s="196"/>
      <c r="X174" s="197"/>
      <c r="Y174" s="196"/>
      <c r="Z174" s="197"/>
      <c r="AA174" s="129"/>
      <c r="AB174" s="130"/>
      <c r="AC174" s="129"/>
      <c r="AD174" s="131"/>
      <c r="AE174" s="131"/>
      <c r="AF174" s="52"/>
      <c r="AG174" s="52"/>
    </row>
    <row r="175" spans="1:33" s="29" customFormat="1" ht="43.5" x14ac:dyDescent="0.25">
      <c r="A175" s="41"/>
      <c r="B175" s="461" t="s">
        <v>196</v>
      </c>
      <c r="C175" s="462">
        <v>0</v>
      </c>
      <c r="D175" s="463">
        <v>0</v>
      </c>
      <c r="E175" s="464">
        <v>0</v>
      </c>
      <c r="F175" s="135">
        <v>0</v>
      </c>
      <c r="G175" s="134">
        <v>0</v>
      </c>
      <c r="H175" s="135">
        <v>0</v>
      </c>
      <c r="I175" s="134">
        <v>0</v>
      </c>
      <c r="J175" s="136">
        <v>0</v>
      </c>
      <c r="K175" s="134">
        <v>0</v>
      </c>
      <c r="L175" s="135">
        <v>0</v>
      </c>
      <c r="N175" s="118"/>
      <c r="P175" s="67"/>
      <c r="Q175" s="67"/>
      <c r="R175" s="67"/>
      <c r="S175" s="67"/>
      <c r="T175" s="67"/>
      <c r="U175" s="67"/>
      <c r="V175" s="195"/>
      <c r="W175" s="196"/>
      <c r="X175" s="197"/>
      <c r="Y175" s="196"/>
      <c r="Z175" s="197"/>
      <c r="AA175" s="129"/>
      <c r="AB175" s="130"/>
      <c r="AC175" s="129"/>
      <c r="AD175" s="131"/>
      <c r="AE175" s="131"/>
      <c r="AF175" s="52"/>
      <c r="AG175" s="52"/>
    </row>
    <row r="176" spans="1:33" s="29" customFormat="1" x14ac:dyDescent="0.25">
      <c r="A176" s="41"/>
      <c r="B176" s="461" t="s">
        <v>137</v>
      </c>
      <c r="C176" s="462">
        <v>52</v>
      </c>
      <c r="D176" s="463">
        <v>463.31688135000002</v>
      </c>
      <c r="E176" s="464">
        <v>42</v>
      </c>
      <c r="F176" s="135">
        <v>430.10363096000003</v>
      </c>
      <c r="G176" s="134">
        <v>1</v>
      </c>
      <c r="H176" s="135">
        <v>17.452891000000001</v>
      </c>
      <c r="I176" s="134">
        <v>0</v>
      </c>
      <c r="J176" s="136">
        <v>0</v>
      </c>
      <c r="K176" s="134">
        <v>95</v>
      </c>
      <c r="L176" s="135">
        <v>910.87340331000007</v>
      </c>
      <c r="P176" s="67"/>
      <c r="Q176" s="67"/>
      <c r="R176" s="67"/>
      <c r="S176" s="67"/>
      <c r="T176" s="67"/>
      <c r="U176" s="67"/>
      <c r="V176" s="195"/>
      <c r="W176" s="196"/>
      <c r="X176" s="197"/>
      <c r="Y176" s="196"/>
      <c r="Z176" s="197"/>
      <c r="AA176" s="129"/>
      <c r="AB176" s="130"/>
      <c r="AC176" s="129"/>
      <c r="AD176" s="131"/>
      <c r="AE176" s="131"/>
      <c r="AF176" s="52"/>
      <c r="AG176" s="52"/>
    </row>
    <row r="177" spans="1:27" s="29" customFormat="1" ht="22.5" customHeight="1" x14ac:dyDescent="0.25">
      <c r="A177" s="41"/>
      <c r="B177" s="461" t="s">
        <v>138</v>
      </c>
      <c r="C177" s="462">
        <v>638</v>
      </c>
      <c r="D177" s="463">
        <v>6616.4454404599974</v>
      </c>
      <c r="E177" s="464">
        <v>414</v>
      </c>
      <c r="F177" s="135">
        <v>4121.5464503499998</v>
      </c>
      <c r="G177" s="134">
        <v>61</v>
      </c>
      <c r="H177" s="135">
        <v>751.29109581000023</v>
      </c>
      <c r="I177" s="134">
        <v>0</v>
      </c>
      <c r="J177" s="136">
        <v>0</v>
      </c>
      <c r="K177" s="134">
        <v>1113</v>
      </c>
      <c r="L177" s="135">
        <v>11489.282986619997</v>
      </c>
      <c r="P177" s="67"/>
      <c r="Q177" s="67"/>
    </row>
    <row r="178" spans="1:27" s="29" customFormat="1" ht="29" x14ac:dyDescent="0.25">
      <c r="A178" s="41"/>
      <c r="B178" s="461" t="s">
        <v>139</v>
      </c>
      <c r="C178" s="462">
        <v>7</v>
      </c>
      <c r="D178" s="463">
        <v>71.58</v>
      </c>
      <c r="E178" s="464">
        <v>3</v>
      </c>
      <c r="F178" s="135">
        <v>32.47</v>
      </c>
      <c r="G178" s="134">
        <v>0</v>
      </c>
      <c r="H178" s="135">
        <v>0</v>
      </c>
      <c r="I178" s="134">
        <v>0</v>
      </c>
      <c r="J178" s="136">
        <v>0</v>
      </c>
      <c r="K178" s="134">
        <v>10</v>
      </c>
      <c r="L178" s="135">
        <v>104.05</v>
      </c>
      <c r="N178" s="118"/>
      <c r="P178" s="67"/>
      <c r="Q178" s="67"/>
    </row>
    <row r="179" spans="1:27" s="29" customFormat="1" ht="29" x14ac:dyDescent="0.25">
      <c r="A179" s="41"/>
      <c r="B179" s="461" t="s">
        <v>140</v>
      </c>
      <c r="C179" s="462">
        <v>16</v>
      </c>
      <c r="D179" s="463">
        <v>179.83600000000001</v>
      </c>
      <c r="E179" s="462">
        <v>12</v>
      </c>
      <c r="F179" s="135">
        <v>138.64699999999999</v>
      </c>
      <c r="G179" s="134">
        <v>0</v>
      </c>
      <c r="H179" s="133">
        <v>0</v>
      </c>
      <c r="I179" s="134">
        <v>0</v>
      </c>
      <c r="J179" s="136">
        <v>0</v>
      </c>
      <c r="K179" s="134">
        <v>28</v>
      </c>
      <c r="L179" s="135">
        <v>318.483</v>
      </c>
      <c r="N179" s="118"/>
      <c r="P179" s="67"/>
      <c r="Q179" s="67"/>
    </row>
    <row r="180" spans="1:27" s="29" customFormat="1" ht="29" x14ac:dyDescent="0.25">
      <c r="A180" s="41"/>
      <c r="B180" s="461" t="s">
        <v>217</v>
      </c>
      <c r="C180" s="465">
        <v>0</v>
      </c>
      <c r="D180" s="466">
        <v>0</v>
      </c>
      <c r="E180" s="465">
        <v>0</v>
      </c>
      <c r="F180" s="135">
        <v>0</v>
      </c>
      <c r="G180" s="134">
        <v>0</v>
      </c>
      <c r="H180" s="147">
        <v>0</v>
      </c>
      <c r="I180" s="134">
        <v>0</v>
      </c>
      <c r="J180" s="136">
        <v>0</v>
      </c>
      <c r="K180" s="134">
        <v>0</v>
      </c>
      <c r="L180" s="135">
        <v>0</v>
      </c>
      <c r="N180" s="118"/>
      <c r="P180" s="67"/>
      <c r="Q180" s="67"/>
    </row>
    <row r="181" spans="1:27" s="29" customFormat="1" ht="21" customHeight="1" x14ac:dyDescent="0.25">
      <c r="A181" s="41"/>
      <c r="B181" s="461" t="s">
        <v>197</v>
      </c>
      <c r="C181" s="464">
        <v>0</v>
      </c>
      <c r="D181" s="467">
        <v>0</v>
      </c>
      <c r="E181" s="464">
        <v>0</v>
      </c>
      <c r="F181" s="135">
        <v>0</v>
      </c>
      <c r="G181" s="134">
        <v>0</v>
      </c>
      <c r="H181" s="135">
        <v>0</v>
      </c>
      <c r="I181" s="134">
        <v>0</v>
      </c>
      <c r="J181" s="136">
        <v>0</v>
      </c>
      <c r="K181" s="134">
        <v>0</v>
      </c>
      <c r="L181" s="135">
        <v>0</v>
      </c>
      <c r="P181" s="67"/>
      <c r="Q181" s="67"/>
    </row>
    <row r="182" spans="1:27" s="29" customFormat="1" x14ac:dyDescent="0.25">
      <c r="A182" s="41"/>
      <c r="B182" s="468" t="s">
        <v>268</v>
      </c>
      <c r="C182" s="469">
        <v>919</v>
      </c>
      <c r="D182" s="470">
        <v>9938.8410469699975</v>
      </c>
      <c r="E182" s="469">
        <v>638</v>
      </c>
      <c r="F182" s="113">
        <v>7199.0171636299983</v>
      </c>
      <c r="G182" s="112">
        <v>97</v>
      </c>
      <c r="H182" s="113">
        <v>1275.7101893700001</v>
      </c>
      <c r="I182" s="112">
        <v>0</v>
      </c>
      <c r="J182" s="114">
        <v>0</v>
      </c>
      <c r="K182" s="143">
        <v>1654</v>
      </c>
      <c r="L182" s="114">
        <v>18413.568399969998</v>
      </c>
      <c r="P182" s="67"/>
      <c r="Q182" s="67"/>
    </row>
    <row r="183" spans="1:27" x14ac:dyDescent="0.25">
      <c r="A183" s="15"/>
      <c r="C183" s="395"/>
      <c r="D183" s="395"/>
      <c r="E183" s="449"/>
      <c r="I183" s="65"/>
      <c r="J183" s="63"/>
    </row>
    <row r="184" spans="1:27" ht="18" customHeight="1" x14ac:dyDescent="0.25">
      <c r="A184" s="15"/>
      <c r="B184" s="450"/>
      <c r="C184" s="370"/>
      <c r="D184" s="370"/>
      <c r="E184" s="449"/>
      <c r="F184" s="68"/>
      <c r="H184" s="111"/>
      <c r="I184" s="65"/>
      <c r="J184" s="63"/>
      <c r="L184" s="410"/>
    </row>
    <row r="185" spans="1:27" s="333" customFormat="1" ht="26.25" customHeight="1" x14ac:dyDescent="0.25">
      <c r="A185" s="631"/>
      <c r="B185" s="660" t="s">
        <v>198</v>
      </c>
      <c r="C185" s="660"/>
      <c r="D185" s="660"/>
      <c r="E185" s="660"/>
      <c r="F185" s="600" t="s">
        <v>283</v>
      </c>
      <c r="G185" s="600"/>
      <c r="H185" s="600"/>
      <c r="I185" s="122"/>
      <c r="J185" s="122"/>
      <c r="K185" s="349"/>
      <c r="L185" s="349"/>
      <c r="M185" s="632"/>
      <c r="Q185" s="632"/>
      <c r="R185" s="632"/>
      <c r="S185" s="632"/>
      <c r="T185" s="632"/>
      <c r="U185" s="632"/>
      <c r="V185" s="632"/>
      <c r="W185" s="155"/>
      <c r="X185" s="154"/>
      <c r="Y185" s="154"/>
      <c r="Z185" s="154"/>
      <c r="AA185" s="154"/>
    </row>
    <row r="186" spans="1:27" ht="10.5" customHeight="1" x14ac:dyDescent="0.25">
      <c r="A186" s="26"/>
      <c r="B186" s="385"/>
      <c r="C186" s="386"/>
      <c r="D186" s="386"/>
      <c r="G186" s="25"/>
      <c r="H186" s="27"/>
      <c r="J186" s="40"/>
      <c r="K186" s="68"/>
      <c r="L186" s="68"/>
    </row>
    <row r="187" spans="1:27" ht="26" x14ac:dyDescent="0.25">
      <c r="A187" s="15"/>
      <c r="B187" s="471" t="s">
        <v>28</v>
      </c>
      <c r="C187" s="472" t="s">
        <v>3</v>
      </c>
      <c r="D187" s="473" t="s">
        <v>97</v>
      </c>
      <c r="F187" s="146" t="s">
        <v>28</v>
      </c>
      <c r="G187" s="35" t="s">
        <v>173</v>
      </c>
      <c r="H187" s="145" t="s">
        <v>174</v>
      </c>
      <c r="I187" s="40"/>
      <c r="J187" s="115"/>
      <c r="K187" s="68"/>
      <c r="L187" s="22"/>
      <c r="M187" s="19"/>
      <c r="P187" s="22"/>
    </row>
    <row r="188" spans="1:27" x14ac:dyDescent="0.25">
      <c r="A188" s="15"/>
      <c r="B188" s="395" t="s">
        <v>59</v>
      </c>
      <c r="C188" s="378">
        <v>0</v>
      </c>
      <c r="D188" s="388">
        <v>0</v>
      </c>
      <c r="F188" s="37" t="s">
        <v>59</v>
      </c>
      <c r="G188" s="36">
        <v>20</v>
      </c>
      <c r="H188" s="36">
        <v>0</v>
      </c>
      <c r="I188" s="40"/>
      <c r="J188" s="68"/>
      <c r="L188" s="22"/>
      <c r="M188" s="19"/>
      <c r="P188" s="22"/>
    </row>
    <row r="189" spans="1:27" x14ac:dyDescent="0.25">
      <c r="A189" s="15"/>
      <c r="B189" s="395" t="s">
        <v>32</v>
      </c>
      <c r="C189" s="378">
        <v>0</v>
      </c>
      <c r="D189" s="388">
        <v>0</v>
      </c>
      <c r="F189" s="37" t="s">
        <v>32</v>
      </c>
      <c r="G189" s="36">
        <v>18</v>
      </c>
      <c r="H189" s="36">
        <v>0</v>
      </c>
      <c r="I189" s="40"/>
      <c r="L189" s="22"/>
      <c r="M189" s="19"/>
      <c r="P189" s="22"/>
    </row>
    <row r="190" spans="1:27" hidden="1" x14ac:dyDescent="0.25">
      <c r="A190" s="15"/>
      <c r="B190" s="395" t="s">
        <v>33</v>
      </c>
      <c r="C190" s="378">
        <v>0</v>
      </c>
      <c r="D190" s="388">
        <v>0</v>
      </c>
      <c r="F190" s="37" t="s">
        <v>33</v>
      </c>
      <c r="G190" s="36">
        <v>0</v>
      </c>
      <c r="H190" s="36">
        <v>0</v>
      </c>
      <c r="I190" s="40"/>
      <c r="L190" s="22"/>
      <c r="M190" s="19"/>
      <c r="P190" s="22"/>
    </row>
    <row r="191" spans="1:27" hidden="1" x14ac:dyDescent="0.25">
      <c r="A191" s="15"/>
      <c r="B191" s="395" t="s">
        <v>34</v>
      </c>
      <c r="C191" s="378">
        <v>0</v>
      </c>
      <c r="D191" s="388">
        <v>0</v>
      </c>
      <c r="F191" s="37" t="s">
        <v>34</v>
      </c>
      <c r="G191" s="36">
        <v>0</v>
      </c>
      <c r="H191" s="36">
        <v>0</v>
      </c>
      <c r="I191" s="40"/>
      <c r="L191" s="22"/>
      <c r="M191" s="19"/>
      <c r="P191" s="22"/>
    </row>
    <row r="192" spans="1:27" hidden="1" x14ac:dyDescent="0.25">
      <c r="A192" s="15"/>
      <c r="B192" s="395" t="s">
        <v>35</v>
      </c>
      <c r="C192" s="378">
        <v>0</v>
      </c>
      <c r="D192" s="388">
        <v>0</v>
      </c>
      <c r="F192" s="37" t="s">
        <v>35</v>
      </c>
      <c r="G192" s="36">
        <v>0</v>
      </c>
      <c r="H192" s="36">
        <v>0</v>
      </c>
      <c r="I192" s="40"/>
      <c r="L192" s="22"/>
      <c r="M192" s="19"/>
      <c r="P192" s="22"/>
    </row>
    <row r="193" spans="1:40" hidden="1" x14ac:dyDescent="0.25">
      <c r="A193" s="15"/>
      <c r="B193" s="395" t="s">
        <v>31</v>
      </c>
      <c r="C193" s="378">
        <v>0</v>
      </c>
      <c r="D193" s="388">
        <v>0</v>
      </c>
      <c r="F193" s="37" t="s">
        <v>31</v>
      </c>
      <c r="G193" s="36">
        <v>0</v>
      </c>
      <c r="H193" s="36">
        <v>0</v>
      </c>
      <c r="I193" s="40"/>
      <c r="L193" s="22"/>
      <c r="M193" s="19"/>
      <c r="P193" s="22"/>
      <c r="V193" s="163"/>
      <c r="W193" s="151"/>
      <c r="AA193" s="19"/>
      <c r="AB193" s="16"/>
    </row>
    <row r="194" spans="1:40" hidden="1" x14ac:dyDescent="0.25">
      <c r="A194" s="15"/>
      <c r="B194" s="395" t="s">
        <v>36</v>
      </c>
      <c r="C194" s="378">
        <v>0</v>
      </c>
      <c r="D194" s="388">
        <v>0</v>
      </c>
      <c r="F194" s="37" t="s">
        <v>36</v>
      </c>
      <c r="G194" s="36">
        <v>0</v>
      </c>
      <c r="H194" s="36">
        <v>0</v>
      </c>
      <c r="I194" s="40"/>
      <c r="L194" s="22"/>
      <c r="M194" s="19"/>
      <c r="P194" s="22"/>
      <c r="V194" s="163"/>
      <c r="W194" s="151"/>
      <c r="AA194" s="19"/>
      <c r="AB194" s="16"/>
    </row>
    <row r="195" spans="1:40" hidden="1" x14ac:dyDescent="0.35">
      <c r="A195" s="15"/>
      <c r="B195" s="395" t="s">
        <v>37</v>
      </c>
      <c r="C195" s="378">
        <v>0</v>
      </c>
      <c r="D195" s="388">
        <v>0</v>
      </c>
      <c r="F195" s="37" t="s">
        <v>37</v>
      </c>
      <c r="G195" s="36">
        <v>0</v>
      </c>
      <c r="H195" s="36">
        <v>0</v>
      </c>
      <c r="I195" s="40"/>
      <c r="L195" s="22"/>
      <c r="M195" s="19"/>
      <c r="P195" s="22"/>
      <c r="V195" s="163"/>
      <c r="W195" s="352"/>
      <c r="X195" s="352"/>
      <c r="Y195" s="352"/>
      <c r="AA195" s="19"/>
      <c r="AB195" s="16"/>
    </row>
    <row r="196" spans="1:40" hidden="1" x14ac:dyDescent="0.35">
      <c r="A196" s="15"/>
      <c r="B196" s="395" t="s">
        <v>41</v>
      </c>
      <c r="C196" s="474">
        <v>0</v>
      </c>
      <c r="D196" s="455">
        <v>0</v>
      </c>
      <c r="F196" s="37" t="s">
        <v>41</v>
      </c>
      <c r="G196" s="36">
        <v>0</v>
      </c>
      <c r="H196" s="36">
        <v>0</v>
      </c>
      <c r="I196" s="40"/>
      <c r="L196" s="22"/>
      <c r="M196" s="19"/>
      <c r="P196" s="22"/>
      <c r="V196" s="163"/>
      <c r="W196" s="353"/>
      <c r="X196" s="354"/>
      <c r="Y196" s="354"/>
      <c r="AA196" s="19"/>
      <c r="AB196" s="16"/>
    </row>
    <row r="197" spans="1:40" hidden="1" x14ac:dyDescent="0.25">
      <c r="A197" s="15"/>
      <c r="B197" s="395" t="s">
        <v>39</v>
      </c>
      <c r="C197" s="474">
        <v>0</v>
      </c>
      <c r="D197" s="455">
        <v>0</v>
      </c>
      <c r="F197" s="37" t="s">
        <v>39</v>
      </c>
      <c r="G197" s="36">
        <v>0</v>
      </c>
      <c r="H197" s="36">
        <v>0</v>
      </c>
      <c r="I197" s="40"/>
      <c r="J197" s="117"/>
      <c r="L197" s="22"/>
      <c r="M197" s="19"/>
      <c r="P197" s="22"/>
      <c r="V197" s="163"/>
      <c r="W197" s="151"/>
      <c r="AA197" s="19"/>
      <c r="AB197" s="16"/>
    </row>
    <row r="198" spans="1:40" hidden="1" x14ac:dyDescent="0.35">
      <c r="A198" s="15"/>
      <c r="B198" s="395" t="s">
        <v>40</v>
      </c>
      <c r="C198" s="474">
        <v>0</v>
      </c>
      <c r="D198" s="455">
        <v>0</v>
      </c>
      <c r="F198" s="37" t="s">
        <v>40</v>
      </c>
      <c r="G198" s="36">
        <v>0</v>
      </c>
      <c r="H198" s="36">
        <v>0</v>
      </c>
      <c r="I198" s="40"/>
      <c r="L198" s="22"/>
      <c r="M198" s="19"/>
      <c r="P198" s="22"/>
      <c r="V198" s="163"/>
      <c r="W198" s="353"/>
      <c r="X198" s="354"/>
      <c r="Y198" s="354"/>
      <c r="AA198" s="19"/>
      <c r="AB198" s="16"/>
    </row>
    <row r="199" spans="1:40" hidden="1" x14ac:dyDescent="0.35">
      <c r="A199" s="15"/>
      <c r="B199" s="395" t="s">
        <v>60</v>
      </c>
      <c r="C199" s="474">
        <v>0</v>
      </c>
      <c r="D199" s="455">
        <v>0</v>
      </c>
      <c r="F199" s="37" t="s">
        <v>60</v>
      </c>
      <c r="G199" s="36">
        <v>0</v>
      </c>
      <c r="H199" s="36">
        <v>0</v>
      </c>
      <c r="I199" s="40"/>
      <c r="L199" s="23"/>
      <c r="M199" s="19"/>
      <c r="P199" s="22"/>
      <c r="V199" s="163"/>
      <c r="W199" s="353"/>
      <c r="X199" s="354"/>
      <c r="Y199" s="354"/>
      <c r="AA199" s="19"/>
      <c r="AB199" s="16"/>
    </row>
    <row r="200" spans="1:40" x14ac:dyDescent="0.25">
      <c r="A200" s="15"/>
      <c r="B200" s="471" t="s">
        <v>29</v>
      </c>
      <c r="C200" s="367">
        <f>SUM(C188:C199)</f>
        <v>0</v>
      </c>
      <c r="D200" s="475">
        <f>SUM(D188:D199)</f>
        <v>0</v>
      </c>
      <c r="F200" s="146" t="s">
        <v>29</v>
      </c>
      <c r="G200" s="35">
        <f>SUM(G188:G199)</f>
        <v>38</v>
      </c>
      <c r="H200" s="35">
        <f>SUM(H188:H199)</f>
        <v>0</v>
      </c>
      <c r="I200" s="40"/>
      <c r="J200" s="68"/>
      <c r="K200" s="117"/>
      <c r="L200" s="22"/>
      <c r="M200" s="19"/>
      <c r="P200" s="22"/>
      <c r="V200" s="163"/>
      <c r="W200" s="151"/>
      <c r="AA200" s="19"/>
      <c r="AB200" s="16"/>
    </row>
    <row r="201" spans="1:40" ht="18" customHeight="1" x14ac:dyDescent="0.25">
      <c r="A201" s="15"/>
      <c r="H201" s="40"/>
      <c r="I201" s="40"/>
      <c r="J201" s="40"/>
      <c r="AC201" s="16"/>
    </row>
    <row r="202" spans="1:40" ht="18" customHeight="1" x14ac:dyDescent="0.25">
      <c r="A202" s="15"/>
      <c r="H202" s="40"/>
      <c r="I202" s="40"/>
      <c r="J202" s="40"/>
      <c r="AC202" s="16"/>
    </row>
    <row r="203" spans="1:40" ht="18" customHeight="1" x14ac:dyDescent="0.25">
      <c r="A203" s="15"/>
      <c r="B203" s="450"/>
      <c r="C203" s="395"/>
      <c r="D203" s="395"/>
      <c r="E203" s="449"/>
      <c r="H203" s="40"/>
      <c r="I203" s="40"/>
      <c r="J203" s="40"/>
      <c r="AC203" s="16"/>
    </row>
    <row r="204" spans="1:40" ht="18" customHeight="1" x14ac:dyDescent="0.25">
      <c r="A204" s="15"/>
      <c r="B204" s="450"/>
      <c r="C204" s="395"/>
      <c r="D204" s="395"/>
      <c r="E204" s="449"/>
      <c r="H204" s="40"/>
      <c r="I204" s="40"/>
      <c r="J204" s="40"/>
      <c r="AC204" s="16"/>
    </row>
    <row r="205" spans="1:40" s="333" customFormat="1" ht="27.75" customHeight="1" x14ac:dyDescent="0.25">
      <c r="A205" s="631"/>
      <c r="B205" s="660" t="s">
        <v>236</v>
      </c>
      <c r="C205" s="660"/>
      <c r="D205" s="660"/>
      <c r="E205" s="660"/>
      <c r="G205" s="633"/>
      <c r="H205" s="633"/>
      <c r="I205" s="633"/>
      <c r="J205" s="633"/>
      <c r="L205" s="634"/>
      <c r="M205" s="632"/>
      <c r="Q205" s="635"/>
      <c r="R205" s="635"/>
      <c r="S205" s="635"/>
      <c r="T205" s="635"/>
      <c r="U205" s="635"/>
      <c r="V205" s="635"/>
      <c r="W205" s="155"/>
      <c r="X205" s="154"/>
      <c r="Y205" s="636"/>
      <c r="Z205" s="637"/>
      <c r="AA205" s="638"/>
      <c r="AB205" s="342"/>
      <c r="AC205" s="639"/>
      <c r="AD205" s="342"/>
      <c r="AE205" s="639"/>
      <c r="AF205" s="639"/>
    </row>
    <row r="206" spans="1:40" ht="18" customHeight="1" x14ac:dyDescent="0.25">
      <c r="A206" s="26"/>
      <c r="B206" s="385"/>
      <c r="C206" s="378"/>
      <c r="D206" s="378"/>
      <c r="E206" s="476"/>
      <c r="J206" s="18"/>
      <c r="X206" s="198"/>
    </row>
    <row r="207" spans="1:40" ht="15" customHeight="1" x14ac:dyDescent="0.25">
      <c r="A207" s="15"/>
      <c r="B207" s="476"/>
      <c r="C207" s="664" t="s">
        <v>145</v>
      </c>
      <c r="D207" s="665"/>
      <c r="E207" s="682" t="s">
        <v>145</v>
      </c>
      <c r="F207" s="683"/>
      <c r="G207" s="668"/>
      <c r="H207" s="669"/>
      <c r="K207" s="682" t="s">
        <v>142</v>
      </c>
      <c r="L207" s="683"/>
      <c r="M207" s="682" t="s">
        <v>142</v>
      </c>
      <c r="N207" s="683"/>
      <c r="P207" s="22"/>
      <c r="Q207" s="19"/>
      <c r="X207" s="199"/>
    </row>
    <row r="208" spans="1:40" ht="25.5" customHeight="1" x14ac:dyDescent="0.25">
      <c r="A208" s="15"/>
      <c r="B208" s="477"/>
      <c r="C208" s="662" t="s">
        <v>493</v>
      </c>
      <c r="D208" s="663"/>
      <c r="E208" s="680" t="s">
        <v>494</v>
      </c>
      <c r="F208" s="681"/>
      <c r="G208" s="666" t="s">
        <v>242</v>
      </c>
      <c r="H208" s="667"/>
      <c r="I208" s="68"/>
      <c r="K208" s="662" t="s">
        <v>493</v>
      </c>
      <c r="L208" s="663"/>
      <c r="M208" s="680" t="s">
        <v>494</v>
      </c>
      <c r="N208" s="681"/>
      <c r="O208" s="684" t="s">
        <v>242</v>
      </c>
      <c r="P208" s="685"/>
      <c r="X208" s="154"/>
      <c r="Y208" s="332"/>
      <c r="Z208" s="332"/>
      <c r="AA208" s="332"/>
      <c r="AB208" s="333"/>
      <c r="AC208" s="334"/>
      <c r="AD208" s="334"/>
      <c r="AE208" s="334"/>
      <c r="AG208" s="151"/>
      <c r="AH208" s="675" t="s">
        <v>145</v>
      </c>
      <c r="AI208" s="675"/>
      <c r="AJ208" s="675"/>
      <c r="AL208" s="675" t="s">
        <v>142</v>
      </c>
      <c r="AM208" s="675"/>
      <c r="AN208" s="675"/>
    </row>
    <row r="209" spans="1:40" ht="15" customHeight="1" x14ac:dyDescent="0.25">
      <c r="A209" s="15"/>
      <c r="B209" s="478" t="s">
        <v>141</v>
      </c>
      <c r="C209" s="479" t="s">
        <v>58</v>
      </c>
      <c r="D209" s="480" t="s">
        <v>143</v>
      </c>
      <c r="E209" s="480" t="s">
        <v>58</v>
      </c>
      <c r="F209" s="33" t="s">
        <v>143</v>
      </c>
      <c r="G209" s="321" t="s">
        <v>325</v>
      </c>
      <c r="H209" s="150" t="s">
        <v>326</v>
      </c>
      <c r="I209" s="68"/>
      <c r="J209" s="84" t="s">
        <v>141</v>
      </c>
      <c r="K209" s="150" t="s">
        <v>58</v>
      </c>
      <c r="L209" s="150" t="s">
        <v>143</v>
      </c>
      <c r="M209" s="150" t="s">
        <v>58</v>
      </c>
      <c r="N209" s="150" t="s">
        <v>143</v>
      </c>
      <c r="O209" s="321" t="s">
        <v>325</v>
      </c>
      <c r="P209" s="150" t="s">
        <v>326</v>
      </c>
      <c r="V209" s="163"/>
      <c r="W209" s="335"/>
      <c r="X209" s="336"/>
      <c r="Y209" s="336"/>
      <c r="Z209" s="336"/>
      <c r="AA209" s="333"/>
      <c r="AB209" s="337"/>
      <c r="AC209" s="337"/>
      <c r="AD209" s="337"/>
      <c r="AF209" s="200" t="s">
        <v>221</v>
      </c>
      <c r="AG209" s="303" t="s">
        <v>58</v>
      </c>
      <c r="AH209" s="201" t="s">
        <v>43</v>
      </c>
      <c r="AI209" s="201" t="s">
        <v>143</v>
      </c>
      <c r="AK209" s="303" t="s">
        <v>58</v>
      </c>
      <c r="AL209" s="201" t="s">
        <v>43</v>
      </c>
      <c r="AM209" s="201" t="s">
        <v>143</v>
      </c>
    </row>
    <row r="210" spans="1:40" ht="15" customHeight="1" x14ac:dyDescent="0.25">
      <c r="A210" s="15"/>
      <c r="B210" s="481" t="s">
        <v>127</v>
      </c>
      <c r="C210" s="544">
        <v>359</v>
      </c>
      <c r="D210" s="144">
        <v>8.9864568245125351</v>
      </c>
      <c r="E210" s="558">
        <v>326</v>
      </c>
      <c r="F210" s="144">
        <v>8.6</v>
      </c>
      <c r="G210" s="66">
        <f>C210-E210</f>
        <v>33</v>
      </c>
      <c r="H210" s="365">
        <f>D210-F210</f>
        <v>0.38645682451253549</v>
      </c>
      <c r="I210" s="68"/>
      <c r="J210" s="85" t="s">
        <v>127</v>
      </c>
      <c r="K210" s="544">
        <v>1355</v>
      </c>
      <c r="L210" s="144">
        <v>9.1789830258302594</v>
      </c>
      <c r="M210" s="544">
        <v>1363</v>
      </c>
      <c r="N210" s="144">
        <v>8.3800000000000008</v>
      </c>
      <c r="O210" s="66">
        <f>K210-M210</f>
        <v>-8</v>
      </c>
      <c r="P210" s="144">
        <f>L210-N210</f>
        <v>0.7989830258302586</v>
      </c>
      <c r="V210" s="163"/>
      <c r="W210" s="338"/>
      <c r="X210" s="339"/>
      <c r="Y210" s="340"/>
      <c r="Z210" s="340"/>
      <c r="AA210" s="333"/>
      <c r="AB210" s="341"/>
      <c r="AC210" s="342"/>
      <c r="AD210" s="342"/>
      <c r="AF210" s="304" t="s">
        <v>127</v>
      </c>
      <c r="AG210" s="203">
        <v>3200</v>
      </c>
      <c r="AH210" s="185">
        <v>21514.3410817</v>
      </c>
      <c r="AI210" s="185">
        <f>+AH210/AG210</f>
        <v>6.7232315880312505</v>
      </c>
      <c r="AK210" s="203">
        <v>2970</v>
      </c>
      <c r="AL210" s="185">
        <v>19460.86</v>
      </c>
      <c r="AM210" s="185">
        <f>+AL210/AK210</f>
        <v>6.5524781144781148</v>
      </c>
    </row>
    <row r="211" spans="1:40" ht="15" customHeight="1" x14ac:dyDescent="0.25">
      <c r="A211" s="15"/>
      <c r="B211" s="481" t="s">
        <v>144</v>
      </c>
      <c r="C211" s="544">
        <v>233</v>
      </c>
      <c r="D211" s="144">
        <v>19.259947786738199</v>
      </c>
      <c r="E211" s="558">
        <v>191</v>
      </c>
      <c r="F211" s="144">
        <v>18.77</v>
      </c>
      <c r="G211" s="66">
        <f>C211-E211</f>
        <v>42</v>
      </c>
      <c r="H211" s="365">
        <f>D211-F211</f>
        <v>0.48994778673819894</v>
      </c>
      <c r="I211" s="68"/>
      <c r="J211" s="85" t="s">
        <v>144</v>
      </c>
      <c r="K211" s="544">
        <v>299</v>
      </c>
      <c r="L211" s="144">
        <v>19.986777257424752</v>
      </c>
      <c r="M211" s="544">
        <v>276</v>
      </c>
      <c r="N211" s="144">
        <v>29.41</v>
      </c>
      <c r="O211" s="359">
        <f>K211-M211</f>
        <v>23</v>
      </c>
      <c r="P211" s="144">
        <f>L211-N211</f>
        <v>-9.4232227425752484</v>
      </c>
      <c r="V211" s="163"/>
      <c r="W211" s="338"/>
      <c r="X211" s="339"/>
      <c r="Y211" s="340"/>
      <c r="Z211" s="340"/>
      <c r="AA211" s="333"/>
      <c r="AB211" s="341"/>
      <c r="AC211" s="342"/>
      <c r="AD211" s="342"/>
      <c r="AF211" s="202" t="s">
        <v>144</v>
      </c>
      <c r="AG211" s="203">
        <v>613</v>
      </c>
      <c r="AH211" s="185">
        <v>11387.261850180001</v>
      </c>
      <c r="AI211" s="185">
        <f>+AH211/AG211</f>
        <v>18.576283605513868</v>
      </c>
      <c r="AK211" s="203">
        <v>698</v>
      </c>
      <c r="AL211" s="185">
        <v>14183.69741406</v>
      </c>
      <c r="AM211" s="185">
        <f>+AL211/AK211</f>
        <v>20.320483401232092</v>
      </c>
    </row>
    <row r="212" spans="1:40" ht="15" customHeight="1" x14ac:dyDescent="0.25">
      <c r="A212" s="15"/>
      <c r="B212" s="482" t="s">
        <v>6</v>
      </c>
      <c r="C212" s="124">
        <f>SUM(C210:C211)</f>
        <v>592</v>
      </c>
      <c r="D212" s="483"/>
      <c r="E212" s="559">
        <f>SUM(E210:E211)</f>
        <v>517</v>
      </c>
      <c r="F212" s="12"/>
      <c r="G212" s="3"/>
      <c r="J212" s="38" t="s">
        <v>6</v>
      </c>
      <c r="K212" s="124">
        <f>SUM(K210:K211)</f>
        <v>1654</v>
      </c>
      <c r="L212" s="22"/>
      <c r="M212" s="124">
        <f>SUM(M210:M211)</f>
        <v>1639</v>
      </c>
      <c r="O212" s="409"/>
      <c r="P212" s="22"/>
      <c r="Q212" s="19"/>
      <c r="X212" s="343"/>
      <c r="Y212" s="344"/>
      <c r="Z212" s="345"/>
      <c r="AA212" s="154"/>
      <c r="AB212" s="333"/>
      <c r="AC212" s="346"/>
      <c r="AD212" s="347"/>
      <c r="AE212" s="333"/>
      <c r="AG212" s="204" t="s">
        <v>6</v>
      </c>
      <c r="AH212" s="205">
        <f>SUM(AG210:AG211)</f>
        <v>3813</v>
      </c>
      <c r="AI212" s="206"/>
      <c r="AJ212" s="151"/>
      <c r="AL212" s="205">
        <f>SUM(AK210:AK211)</f>
        <v>3668</v>
      </c>
      <c r="AM212" s="206"/>
      <c r="AN212" s="151"/>
    </row>
    <row r="213" spans="1:40" x14ac:dyDescent="0.25">
      <c r="A213" s="15"/>
      <c r="B213" s="484"/>
      <c r="C213" s="483"/>
      <c r="D213" s="483"/>
      <c r="E213" s="449"/>
      <c r="F213" s="138"/>
      <c r="G213" s="543"/>
      <c r="I213" s="138"/>
      <c r="J213" s="10"/>
      <c r="K213" s="138"/>
      <c r="L213" s="139"/>
      <c r="X213" s="154"/>
      <c r="Y213" s="154"/>
      <c r="Z213" s="154"/>
      <c r="AA213" s="154"/>
      <c r="AB213" s="333"/>
      <c r="AC213" s="348"/>
      <c r="AD213" s="349"/>
      <c r="AE213" s="333"/>
    </row>
    <row r="214" spans="1:40" ht="18" customHeight="1" x14ac:dyDescent="0.25">
      <c r="A214" s="15"/>
      <c r="B214" s="450"/>
      <c r="C214" s="395"/>
      <c r="D214" s="535"/>
      <c r="E214" s="485"/>
      <c r="I214" s="323"/>
      <c r="J214" s="63"/>
      <c r="K214" s="21"/>
      <c r="L214" s="21"/>
      <c r="N214" s="21"/>
      <c r="O214" s="21"/>
      <c r="P214" s="323"/>
      <c r="X214" s="154"/>
      <c r="Y214" s="154"/>
      <c r="Z214" s="154"/>
      <c r="AA214" s="154"/>
      <c r="AB214" s="333"/>
      <c r="AC214" s="348"/>
      <c r="AD214" s="349"/>
      <c r="AE214" s="333"/>
    </row>
    <row r="215" spans="1:40" ht="27.75" customHeight="1" x14ac:dyDescent="0.25">
      <c r="A215" s="26"/>
      <c r="B215" s="660" t="s">
        <v>161</v>
      </c>
      <c r="C215" s="660"/>
      <c r="D215" s="660"/>
      <c r="E215" s="660"/>
      <c r="H215" s="12"/>
      <c r="I215" s="12"/>
      <c r="J215" s="12"/>
      <c r="L215" s="65"/>
      <c r="Q215" s="3"/>
      <c r="R215" s="3"/>
      <c r="S215" s="3"/>
      <c r="T215" s="3"/>
      <c r="U215" s="3"/>
      <c r="V215" s="3"/>
      <c r="Y215" s="207"/>
      <c r="Z215" s="208"/>
      <c r="AA215" s="184"/>
      <c r="AB215" s="18"/>
      <c r="AC215" s="21"/>
      <c r="AD215" s="18"/>
      <c r="AE215" s="21"/>
      <c r="AF215" s="21"/>
    </row>
    <row r="216" spans="1:40" ht="15" customHeight="1" x14ac:dyDescent="0.25">
      <c r="A216" s="15"/>
      <c r="H216" s="12"/>
      <c r="I216" s="12"/>
      <c r="J216" s="12"/>
      <c r="L216" s="21"/>
      <c r="N216" s="21"/>
      <c r="P216" s="3"/>
      <c r="W216" s="153"/>
      <c r="Y216" s="207"/>
      <c r="Z216" s="208"/>
      <c r="AA216" s="184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71" t="s">
        <v>28</v>
      </c>
      <c r="C217" s="479" t="s">
        <v>3</v>
      </c>
      <c r="D217" s="486" t="s">
        <v>97</v>
      </c>
      <c r="F217" s="12"/>
      <c r="H217" s="12"/>
      <c r="I217" s="12"/>
      <c r="L217" s="22"/>
      <c r="M217" s="19"/>
      <c r="P217" s="22"/>
      <c r="V217" s="163"/>
      <c r="W217" s="151"/>
      <c r="X217" s="207"/>
      <c r="AA217" s="18"/>
      <c r="AB217" s="16"/>
      <c r="AC217" s="68"/>
    </row>
    <row r="218" spans="1:40" x14ac:dyDescent="0.3">
      <c r="A218" s="15"/>
      <c r="B218" s="395" t="s">
        <v>59</v>
      </c>
      <c r="C218" s="474">
        <v>845</v>
      </c>
      <c r="D218" s="388">
        <v>9247.7704987500001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63"/>
      <c r="W218" s="151"/>
      <c r="X218" s="184"/>
      <c r="Y218" s="183"/>
      <c r="Z218" s="211"/>
      <c r="AA218" s="21"/>
      <c r="AB218" s="21"/>
      <c r="AC218" s="21"/>
      <c r="AD218" s="21"/>
      <c r="AE218" s="86"/>
    </row>
    <row r="219" spans="1:40" x14ac:dyDescent="0.3">
      <c r="A219" s="15"/>
      <c r="B219" s="395" t="s">
        <v>32</v>
      </c>
      <c r="C219" s="474">
        <v>809</v>
      </c>
      <c r="D219" s="388">
        <v>9165.7979012199994</v>
      </c>
      <c r="F219" s="12"/>
      <c r="H219" s="12"/>
      <c r="I219" s="12"/>
      <c r="L219" s="22"/>
      <c r="M219" s="19"/>
      <c r="P219" s="3"/>
      <c r="Q219" s="3"/>
      <c r="R219" s="3"/>
      <c r="S219" s="3"/>
      <c r="T219" s="3"/>
      <c r="U219" s="3"/>
      <c r="V219" s="212"/>
      <c r="W219" s="151"/>
      <c r="X219" s="184">
        <v>1421</v>
      </c>
      <c r="Y219" s="183">
        <v>12252.63411767688</v>
      </c>
      <c r="Z219" s="211"/>
      <c r="AA219" s="21"/>
      <c r="AB219" s="21"/>
      <c r="AC219" s="21"/>
      <c r="AD219" s="21"/>
      <c r="AE219" s="87"/>
      <c r="AH219" s="676"/>
      <c r="AI219" s="676"/>
    </row>
    <row r="220" spans="1:40" hidden="1" x14ac:dyDescent="0.3">
      <c r="A220" s="15"/>
      <c r="B220" s="395" t="s">
        <v>33</v>
      </c>
      <c r="C220" s="474">
        <v>0</v>
      </c>
      <c r="D220" s="388">
        <v>0</v>
      </c>
      <c r="F220" s="12"/>
      <c r="H220" s="12"/>
      <c r="I220" s="12"/>
      <c r="L220" s="597"/>
      <c r="M220" s="19"/>
      <c r="O220" s="3"/>
      <c r="P220" s="21"/>
      <c r="Q220" s="21"/>
      <c r="R220" s="21"/>
      <c r="S220" s="21"/>
      <c r="T220" s="21"/>
      <c r="U220" s="21"/>
      <c r="V220" s="213"/>
      <c r="W220" s="151"/>
      <c r="X220" s="184">
        <v>1041</v>
      </c>
      <c r="Y220" s="183">
        <v>8292.7401420099995</v>
      </c>
      <c r="Z220" s="184"/>
      <c r="AA220" s="18"/>
      <c r="AB220" s="21"/>
      <c r="AC220" s="21"/>
      <c r="AD220" s="21"/>
      <c r="AE220" s="137"/>
      <c r="AH220" s="69"/>
      <c r="AI220" s="69"/>
    </row>
    <row r="221" spans="1:40" hidden="1" x14ac:dyDescent="0.3">
      <c r="A221" s="15"/>
      <c r="B221" s="395" t="s">
        <v>34</v>
      </c>
      <c r="C221" s="474">
        <v>0</v>
      </c>
      <c r="D221" s="388">
        <v>0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63"/>
      <c r="W221" s="151"/>
      <c r="X221" s="184">
        <v>770</v>
      </c>
      <c r="Y221" s="183">
        <v>6038.1425611800005</v>
      </c>
      <c r="Z221" s="211"/>
      <c r="AA221" s="21"/>
      <c r="AB221" s="21"/>
      <c r="AC221" s="21"/>
      <c r="AD221" s="21"/>
      <c r="AE221" s="86"/>
    </row>
    <row r="222" spans="1:40" hidden="1" x14ac:dyDescent="0.3">
      <c r="A222" s="15"/>
      <c r="B222" s="395" t="s">
        <v>35</v>
      </c>
      <c r="C222" s="474">
        <v>0</v>
      </c>
      <c r="D222" s="388">
        <v>0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12"/>
      <c r="W222" s="151"/>
      <c r="X222" s="184">
        <v>1043</v>
      </c>
      <c r="Y222" s="183">
        <v>10247.784376600001</v>
      </c>
      <c r="Z222" s="211"/>
      <c r="AA222" s="21"/>
      <c r="AB222" s="21"/>
      <c r="AC222" s="21"/>
      <c r="AD222" s="21"/>
      <c r="AE222" s="87"/>
      <c r="AH222" s="676"/>
      <c r="AI222" s="676"/>
    </row>
    <row r="223" spans="1:40" hidden="1" x14ac:dyDescent="0.3">
      <c r="A223" s="15"/>
      <c r="B223" s="395" t="s">
        <v>31</v>
      </c>
      <c r="C223" s="474">
        <v>0</v>
      </c>
      <c r="D223" s="388">
        <v>0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13"/>
      <c r="W223" s="151"/>
      <c r="X223" s="184">
        <v>1349</v>
      </c>
      <c r="Y223" s="183">
        <v>13272.00041705</v>
      </c>
      <c r="Z223" s="184"/>
      <c r="AA223" s="18"/>
      <c r="AB223" s="21"/>
      <c r="AC223" s="21"/>
      <c r="AD223" s="21"/>
      <c r="AE223" s="137"/>
      <c r="AH223" s="69"/>
      <c r="AI223" s="69"/>
    </row>
    <row r="224" spans="1:40" hidden="1" x14ac:dyDescent="0.3">
      <c r="A224" s="15"/>
      <c r="B224" s="395" t="s">
        <v>36</v>
      </c>
      <c r="C224" s="474">
        <v>0</v>
      </c>
      <c r="D224" s="388">
        <v>0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63"/>
      <c r="W224" s="151"/>
      <c r="X224" s="184">
        <v>1296</v>
      </c>
      <c r="Y224" s="183">
        <v>12990.21725528</v>
      </c>
      <c r="Z224" s="211"/>
      <c r="AA224" s="21"/>
      <c r="AB224" s="21"/>
      <c r="AC224" s="21"/>
      <c r="AD224" s="21"/>
      <c r="AE224" s="86"/>
    </row>
    <row r="225" spans="1:35" hidden="1" x14ac:dyDescent="0.3">
      <c r="A225" s="15"/>
      <c r="B225" s="395" t="s">
        <v>37</v>
      </c>
      <c r="C225" s="474">
        <v>0</v>
      </c>
      <c r="D225" s="388">
        <v>0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12"/>
      <c r="W225" s="151"/>
      <c r="X225" s="184">
        <v>1345</v>
      </c>
      <c r="Y225" s="183">
        <v>11734.405629929999</v>
      </c>
      <c r="Z225" s="211"/>
      <c r="AA225" s="21"/>
      <c r="AB225" s="21"/>
      <c r="AC225" s="21"/>
      <c r="AD225" s="21"/>
      <c r="AE225" s="87"/>
      <c r="AH225" s="676"/>
      <c r="AI225" s="676"/>
    </row>
    <row r="226" spans="1:35" hidden="1" x14ac:dyDescent="0.3">
      <c r="A226" s="15"/>
      <c r="B226" s="395" t="s">
        <v>41</v>
      </c>
      <c r="C226" s="474">
        <v>0</v>
      </c>
      <c r="D226" s="388">
        <v>0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13"/>
      <c r="W226" s="151"/>
      <c r="X226" s="209"/>
      <c r="Y226" s="208"/>
      <c r="Z226" s="184"/>
      <c r="AA226" s="18"/>
      <c r="AB226" s="21"/>
      <c r="AC226" s="21"/>
      <c r="AD226" s="21"/>
      <c r="AE226" s="137"/>
      <c r="AH226" s="69"/>
      <c r="AI226" s="69"/>
    </row>
    <row r="227" spans="1:35" hidden="1" x14ac:dyDescent="0.3">
      <c r="A227" s="15"/>
      <c r="B227" s="395" t="s">
        <v>39</v>
      </c>
      <c r="C227" s="474">
        <v>0</v>
      </c>
      <c r="D227" s="388">
        <v>0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63"/>
      <c r="W227" s="151"/>
      <c r="X227" s="209"/>
      <c r="Y227" s="210"/>
      <c r="Z227" s="211"/>
      <c r="AA227" s="21"/>
      <c r="AB227" s="21"/>
      <c r="AC227" s="21"/>
      <c r="AD227" s="21"/>
      <c r="AE227" s="86"/>
    </row>
    <row r="228" spans="1:35" hidden="1" x14ac:dyDescent="0.3">
      <c r="A228" s="15"/>
      <c r="B228" s="395" t="s">
        <v>40</v>
      </c>
      <c r="C228" s="474">
        <v>0</v>
      </c>
      <c r="D228" s="388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12"/>
      <c r="W228" s="151"/>
      <c r="X228" s="209"/>
      <c r="Y228" s="210"/>
      <c r="Z228" s="211"/>
      <c r="AA228" s="21"/>
      <c r="AB228" s="21"/>
      <c r="AC228" s="21"/>
      <c r="AD228" s="21"/>
      <c r="AE228" s="87"/>
      <c r="AH228" s="676"/>
      <c r="AI228" s="676"/>
    </row>
    <row r="229" spans="1:35" hidden="1" x14ac:dyDescent="0.3">
      <c r="A229" s="15"/>
      <c r="B229" s="395" t="s">
        <v>60</v>
      </c>
      <c r="C229" s="474">
        <v>0</v>
      </c>
      <c r="D229" s="388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13"/>
      <c r="W229" s="151"/>
      <c r="X229" s="209"/>
      <c r="Y229" s="208"/>
      <c r="Z229" s="184"/>
      <c r="AA229" s="18"/>
      <c r="AB229" s="21"/>
      <c r="AC229" s="21"/>
      <c r="AD229" s="21"/>
      <c r="AE229" s="137"/>
      <c r="AH229" s="69"/>
      <c r="AI229" s="69"/>
    </row>
    <row r="230" spans="1:35" x14ac:dyDescent="0.25">
      <c r="A230" s="15"/>
      <c r="B230" s="487" t="s">
        <v>29</v>
      </c>
      <c r="C230" s="488">
        <f>SUM(C218:C229)</f>
        <v>1654</v>
      </c>
      <c r="D230" s="489">
        <f>D218+D219+D220+D221+D222+D223+D224+D225+D226+D227+D228+D229</f>
        <v>18413.568399969998</v>
      </c>
      <c r="F230" s="12"/>
      <c r="H230" s="12"/>
      <c r="I230" s="12"/>
      <c r="L230" s="22"/>
      <c r="M230" s="19"/>
      <c r="P230" s="53"/>
      <c r="Q230" s="53"/>
      <c r="R230" s="53"/>
      <c r="S230" s="53"/>
      <c r="T230" s="53"/>
      <c r="U230" s="53"/>
      <c r="V230" s="184"/>
      <c r="W230" s="183"/>
      <c r="X230" s="209"/>
      <c r="Y230" s="208"/>
      <c r="Z230" s="184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98"/>
      <c r="D231" s="398"/>
      <c r="F231" s="12"/>
      <c r="H231" s="12"/>
      <c r="I231" s="12"/>
      <c r="J231" s="12"/>
      <c r="X231" s="183"/>
      <c r="Y231" s="209"/>
      <c r="Z231" s="210"/>
      <c r="AA231" s="211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X232" s="183"/>
      <c r="Y232" s="214"/>
      <c r="Z232" s="214"/>
      <c r="AA232" s="215"/>
      <c r="AC232" s="21"/>
      <c r="AD232" s="21"/>
      <c r="AE232" s="18"/>
      <c r="AI232" s="21"/>
    </row>
    <row r="233" spans="1:35" ht="15" customHeight="1" x14ac:dyDescent="0.25">
      <c r="A233" s="15"/>
      <c r="E233" s="490"/>
      <c r="F233" s="12"/>
      <c r="H233" s="12"/>
      <c r="I233" s="12"/>
      <c r="J233" s="12"/>
      <c r="X233" s="183"/>
      <c r="AC233" s="21"/>
      <c r="AD233" s="21"/>
      <c r="AE233" s="18"/>
      <c r="AI233" s="21"/>
    </row>
    <row r="234" spans="1:35" ht="15" customHeight="1" x14ac:dyDescent="0.25">
      <c r="A234" s="15"/>
      <c r="C234" s="398"/>
      <c r="D234" s="398"/>
      <c r="F234" s="12"/>
      <c r="H234" s="12"/>
      <c r="I234" s="12"/>
      <c r="J234" s="12"/>
      <c r="X234" s="183"/>
      <c r="Y234" s="214"/>
      <c r="Z234" s="214"/>
      <c r="AA234" s="215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83"/>
      <c r="Y235" s="214"/>
      <c r="Z235" s="214"/>
      <c r="AA235" s="215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83"/>
      <c r="Y236" s="214"/>
      <c r="Z236" s="214"/>
      <c r="AA236" s="215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83"/>
      <c r="Y237" s="214"/>
      <c r="Z237" s="214"/>
      <c r="AA237" s="215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83"/>
      <c r="Y238" s="214"/>
      <c r="Z238" s="214"/>
      <c r="AA238" s="215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83"/>
      <c r="Y239" s="214"/>
      <c r="Z239" s="214"/>
      <c r="AA239" s="215"/>
      <c r="AC239" s="21"/>
      <c r="AD239" s="21"/>
      <c r="AE239" s="18"/>
      <c r="AI239" s="21"/>
    </row>
    <row r="240" spans="1:35" ht="15" customHeight="1" x14ac:dyDescent="0.25">
      <c r="A240" s="15"/>
      <c r="B240" s="484"/>
      <c r="C240" s="491"/>
      <c r="D240" s="491"/>
      <c r="E240" s="492"/>
      <c r="G240" s="32"/>
      <c r="H240" s="12"/>
      <c r="I240" s="12"/>
      <c r="J240" s="12"/>
      <c r="X240" s="183"/>
      <c r="AC240" s="21"/>
      <c r="AD240" s="21"/>
      <c r="AE240" s="18"/>
      <c r="AI240" s="21"/>
    </row>
    <row r="241" spans="1:32" ht="33" customHeight="1" x14ac:dyDescent="0.25">
      <c r="A241" s="26"/>
      <c r="B241" s="648" t="s">
        <v>219</v>
      </c>
      <c r="C241" s="648"/>
      <c r="D241" s="648"/>
      <c r="E241" s="648"/>
      <c r="F241" s="661"/>
      <c r="G241" s="661"/>
      <c r="H241" s="661"/>
      <c r="I241" s="12"/>
      <c r="J241" s="12"/>
      <c r="K241" s="12"/>
      <c r="L241" s="12"/>
      <c r="M241" s="266"/>
      <c r="Y241" s="214"/>
      <c r="Z241" s="184"/>
      <c r="AA241" s="183"/>
      <c r="AC241" s="16"/>
    </row>
    <row r="242" spans="1:32" ht="15.75" customHeight="1" x14ac:dyDescent="0.25">
      <c r="A242" s="15"/>
      <c r="E242" s="374"/>
      <c r="H242" s="12"/>
      <c r="I242" s="12"/>
      <c r="J242" s="12"/>
      <c r="K242" s="12"/>
      <c r="L242" s="12"/>
      <c r="M242" s="266"/>
      <c r="Y242" s="214"/>
      <c r="Z242" s="184"/>
      <c r="AA242" s="183"/>
      <c r="AC242" s="28"/>
      <c r="AE242" s="25"/>
    </row>
    <row r="243" spans="1:32" ht="30.75" customHeight="1" x14ac:dyDescent="0.25">
      <c r="A243" s="15"/>
      <c r="B243" s="493"/>
      <c r="C243" s="643" t="s">
        <v>495</v>
      </c>
      <c r="D243" s="644"/>
      <c r="E243" s="641" t="s">
        <v>496</v>
      </c>
      <c r="F243" s="642"/>
      <c r="G243" s="19"/>
      <c r="X243" s="640" t="s">
        <v>272</v>
      </c>
      <c r="Y243" s="640"/>
      <c r="Z243" s="640"/>
      <c r="AA243" s="640"/>
      <c r="AB243" s="45"/>
      <c r="AC243" s="640" t="s">
        <v>269</v>
      </c>
      <c r="AD243" s="640"/>
      <c r="AE243" s="640"/>
      <c r="AF243" s="640"/>
    </row>
    <row r="244" spans="1:32" ht="26.25" customHeight="1" x14ac:dyDescent="0.3">
      <c r="A244" s="15"/>
      <c r="B244" s="494" t="s">
        <v>141</v>
      </c>
      <c r="C244" s="567" t="s">
        <v>58</v>
      </c>
      <c r="D244" s="495" t="s">
        <v>129</v>
      </c>
      <c r="E244" s="496" t="s">
        <v>58</v>
      </c>
      <c r="F244" s="412" t="s">
        <v>129</v>
      </c>
      <c r="G244" s="19"/>
      <c r="H244" s="19"/>
      <c r="L244" s="22"/>
      <c r="M244" s="19"/>
      <c r="P244" s="88"/>
      <c r="Q244" s="88"/>
      <c r="R244" s="88"/>
      <c r="S244" s="88"/>
      <c r="T244" s="88"/>
      <c r="U244" s="88"/>
      <c r="V244" s="216"/>
      <c r="W244" s="217" t="s">
        <v>141</v>
      </c>
      <c r="X244" s="218" t="s">
        <v>58</v>
      </c>
      <c r="Y244" s="218" t="s">
        <v>218</v>
      </c>
      <c r="Z244" s="218" t="s">
        <v>129</v>
      </c>
      <c r="AA244" s="140"/>
      <c r="AB244" s="217" t="s">
        <v>141</v>
      </c>
      <c r="AC244" s="218" t="s">
        <v>58</v>
      </c>
      <c r="AD244" s="218" t="s">
        <v>218</v>
      </c>
      <c r="AE244" s="218" t="s">
        <v>129</v>
      </c>
    </row>
    <row r="245" spans="1:32" ht="21" customHeight="1" x14ac:dyDescent="0.3">
      <c r="A245" s="15"/>
      <c r="B245" s="497" t="s">
        <v>127</v>
      </c>
      <c r="C245" s="568">
        <v>644</v>
      </c>
      <c r="D245" s="372">
        <v>9.2149270186335404</v>
      </c>
      <c r="E245" s="474">
        <v>597</v>
      </c>
      <c r="F245" s="372">
        <v>8.49</v>
      </c>
      <c r="G245" s="19"/>
      <c r="H245" s="19"/>
      <c r="L245" s="22"/>
      <c r="M245" s="19"/>
      <c r="O245" s="88"/>
      <c r="P245" s="89"/>
      <c r="Q245" s="89"/>
      <c r="R245" s="89"/>
      <c r="S245" s="89"/>
      <c r="T245" s="89"/>
      <c r="U245" s="89"/>
      <c r="V245" s="163"/>
      <c r="W245" s="219" t="s">
        <v>127</v>
      </c>
      <c r="X245" s="250">
        <v>658</v>
      </c>
      <c r="Y245" s="251">
        <v>5776.5609999999997</v>
      </c>
      <c r="Z245" s="577">
        <f>+Y245/X245</f>
        <v>8.7789680851063832</v>
      </c>
      <c r="AA245" s="44"/>
      <c r="AB245" s="219" t="s">
        <v>127</v>
      </c>
      <c r="AC245" s="203">
        <v>830</v>
      </c>
      <c r="AD245" s="185">
        <v>5428.8249999999998</v>
      </c>
      <c r="AE245" s="185">
        <f>+AD245/AC245</f>
        <v>6.5407530120481923</v>
      </c>
    </row>
    <row r="246" spans="1:32" ht="21" customHeight="1" x14ac:dyDescent="0.25">
      <c r="A246" s="15"/>
      <c r="B246" s="498" t="s">
        <v>128</v>
      </c>
      <c r="C246" s="568">
        <v>165</v>
      </c>
      <c r="D246" s="372">
        <v>19.584150916484848</v>
      </c>
      <c r="E246" s="474">
        <v>95</v>
      </c>
      <c r="F246" s="372">
        <v>19.13</v>
      </c>
      <c r="G246" s="19"/>
      <c r="H246" s="19"/>
      <c r="L246" s="22"/>
      <c r="M246" s="19"/>
      <c r="P246" s="22"/>
      <c r="V246" s="163"/>
      <c r="W246" s="219" t="s">
        <v>128</v>
      </c>
      <c r="X246" s="407">
        <v>71</v>
      </c>
      <c r="Y246" s="408">
        <v>1355.82168581</v>
      </c>
      <c r="Z246" s="577">
        <f>+Y246/X246</f>
        <v>19.096080081830987</v>
      </c>
      <c r="AA246" s="44"/>
      <c r="AB246" s="219" t="s">
        <v>128</v>
      </c>
      <c r="AC246" s="203">
        <v>43</v>
      </c>
      <c r="AD246" s="185">
        <v>686.34394599000007</v>
      </c>
      <c r="AE246" s="185">
        <f>+AD246/AC246</f>
        <v>15.961487116046513</v>
      </c>
    </row>
    <row r="247" spans="1:32" ht="15" customHeight="1" x14ac:dyDescent="0.25">
      <c r="A247" s="15"/>
      <c r="B247" s="499" t="s">
        <v>29</v>
      </c>
      <c r="C247" s="569">
        <f>SUM(C245:C246)</f>
        <v>809</v>
      </c>
      <c r="D247" s="500"/>
      <c r="E247" s="501">
        <f>+E246+E245</f>
        <v>692</v>
      </c>
      <c r="F247" s="413"/>
      <c r="G247" s="19"/>
      <c r="H247" s="19"/>
      <c r="K247" s="24"/>
      <c r="L247" s="22"/>
      <c r="M247" s="19"/>
      <c r="P247" s="22"/>
      <c r="V247" s="163"/>
      <c r="W247" s="220" t="s">
        <v>29</v>
      </c>
      <c r="X247" s="221">
        <f>SUM(X245:X246)</f>
        <v>729</v>
      </c>
      <c r="Y247" s="222"/>
      <c r="Z247" s="223"/>
      <c r="AA247" s="141"/>
      <c r="AB247" s="220" t="s">
        <v>29</v>
      </c>
      <c r="AC247" s="221">
        <f>SUM(AC245:AC246)</f>
        <v>873</v>
      </c>
      <c r="AD247" s="222"/>
      <c r="AE247" s="223"/>
    </row>
    <row r="248" spans="1:32" ht="15.75" customHeight="1" x14ac:dyDescent="0.25">
      <c r="A248" s="15"/>
      <c r="B248" s="502"/>
      <c r="C248" s="503"/>
      <c r="D248" s="503"/>
      <c r="E248" s="503"/>
      <c r="F248" s="141"/>
      <c r="G248" s="142"/>
      <c r="H248" s="19"/>
      <c r="L248" s="24"/>
      <c r="Y248" s="224"/>
      <c r="Z248" s="223"/>
      <c r="AA248" s="223"/>
      <c r="AB248" s="141"/>
      <c r="AC248" s="142"/>
      <c r="AE248" s="25"/>
    </row>
    <row r="249" spans="1:32" ht="15.75" customHeight="1" x14ac:dyDescent="0.3">
      <c r="A249" s="15"/>
      <c r="G249" s="19"/>
      <c r="H249" s="19"/>
      <c r="P249" s="88"/>
      <c r="Q249" s="88"/>
      <c r="R249" s="88"/>
      <c r="S249" s="88"/>
      <c r="T249" s="88"/>
      <c r="U249" s="88"/>
      <c r="V249" s="88"/>
      <c r="W249" s="225"/>
      <c r="Y249" s="214"/>
      <c r="Z249" s="208"/>
      <c r="AA249" s="183"/>
      <c r="AC249" s="16"/>
    </row>
    <row r="250" spans="1:32" ht="15.75" customHeight="1" x14ac:dyDescent="0.3">
      <c r="A250" s="15"/>
      <c r="E250" s="374"/>
      <c r="P250" s="88"/>
      <c r="Q250" s="88"/>
      <c r="R250" s="88"/>
      <c r="S250" s="88"/>
      <c r="T250" s="88"/>
      <c r="U250" s="88"/>
      <c r="V250" s="88"/>
      <c r="W250" s="225"/>
      <c r="Y250" s="214"/>
      <c r="Z250" s="208"/>
      <c r="AA250" s="183"/>
      <c r="AC250" s="16"/>
    </row>
    <row r="251" spans="1:32" ht="15.75" customHeight="1" x14ac:dyDescent="0.3">
      <c r="A251" s="15"/>
      <c r="E251" s="374"/>
      <c r="H251" s="71"/>
      <c r="I251" s="72"/>
      <c r="J251" s="71"/>
      <c r="P251" s="88"/>
      <c r="Q251" s="88"/>
      <c r="R251" s="88"/>
      <c r="S251" s="88"/>
      <c r="T251" s="88"/>
      <c r="U251" s="88"/>
      <c r="V251" s="88"/>
      <c r="W251" s="225"/>
      <c r="Y251" s="214"/>
      <c r="Z251" s="184"/>
      <c r="AA251" s="183"/>
      <c r="AC251" s="16"/>
    </row>
    <row r="252" spans="1:32" ht="15.75" customHeight="1" x14ac:dyDescent="0.3">
      <c r="A252" s="15"/>
      <c r="E252" s="374"/>
      <c r="H252" s="72"/>
      <c r="I252" s="73"/>
      <c r="J252" s="24"/>
      <c r="P252" s="88"/>
      <c r="Q252" s="88"/>
      <c r="R252" s="88"/>
      <c r="S252" s="88"/>
      <c r="T252" s="88"/>
      <c r="U252" s="88"/>
      <c r="V252" s="88"/>
      <c r="W252" s="225"/>
      <c r="Y252" s="214"/>
      <c r="Z252" s="184"/>
      <c r="AA252" s="183"/>
      <c r="AC252" s="16"/>
    </row>
    <row r="253" spans="1:32" ht="15.75" customHeight="1" x14ac:dyDescent="0.3">
      <c r="A253" s="15"/>
      <c r="E253" s="374"/>
      <c r="G253" s="19"/>
      <c r="H253" s="19"/>
      <c r="P253" s="88"/>
      <c r="Q253" s="89"/>
      <c r="R253" s="89"/>
      <c r="S253" s="89"/>
      <c r="T253" s="89"/>
      <c r="U253" s="89"/>
      <c r="V253" s="89"/>
      <c r="W253" s="225"/>
      <c r="Y253" s="214"/>
      <c r="Z253" s="184"/>
      <c r="AA253" s="183"/>
      <c r="AC253" s="16"/>
    </row>
    <row r="254" spans="1:32" ht="15.75" customHeight="1" x14ac:dyDescent="0.3">
      <c r="A254" s="15"/>
      <c r="E254" s="374"/>
      <c r="G254" s="24"/>
      <c r="H254" s="24"/>
      <c r="Q254" s="88"/>
      <c r="R254" s="88"/>
      <c r="S254" s="88"/>
      <c r="T254" s="88"/>
      <c r="U254" s="88"/>
      <c r="V254" s="88"/>
      <c r="W254" s="225"/>
      <c r="Y254" s="214"/>
      <c r="Z254" s="184"/>
      <c r="AA254" s="183"/>
      <c r="AC254" s="16"/>
    </row>
    <row r="255" spans="1:32" ht="15.75" customHeight="1" x14ac:dyDescent="0.3">
      <c r="A255" s="15"/>
      <c r="E255" s="374"/>
      <c r="Q255" s="88"/>
      <c r="R255" s="88"/>
      <c r="S255" s="88"/>
      <c r="T255" s="88"/>
      <c r="U255" s="88"/>
      <c r="V255" s="88"/>
      <c r="W255" s="225"/>
      <c r="Y255" s="214"/>
      <c r="Z255" s="184"/>
      <c r="AA255" s="183"/>
      <c r="AC255" s="16"/>
    </row>
    <row r="256" spans="1:32" ht="15.75" customHeight="1" x14ac:dyDescent="0.3">
      <c r="A256" s="15"/>
      <c r="E256" s="374"/>
      <c r="Q256" s="88"/>
      <c r="R256" s="88"/>
      <c r="S256" s="88"/>
      <c r="T256" s="88"/>
      <c r="U256" s="88"/>
      <c r="V256" s="88"/>
      <c r="W256" s="225"/>
      <c r="Y256" s="214"/>
      <c r="Z256" s="184"/>
      <c r="AA256" s="183"/>
      <c r="AC256" s="16"/>
    </row>
    <row r="257" spans="1:26" ht="15.75" customHeight="1" x14ac:dyDescent="0.3">
      <c r="A257" s="15"/>
      <c r="E257" s="374"/>
      <c r="Q257" s="88"/>
      <c r="R257" s="88"/>
      <c r="S257" s="88"/>
      <c r="T257" s="88"/>
      <c r="U257" s="88"/>
      <c r="V257" s="88"/>
      <c r="W257" s="225"/>
      <c r="Y257" s="214"/>
      <c r="Z257" s="184"/>
    </row>
    <row r="258" spans="1:26" ht="15.75" customHeight="1" x14ac:dyDescent="0.3">
      <c r="A258" s="15"/>
      <c r="E258" s="374"/>
      <c r="Q258" s="88"/>
      <c r="R258" s="88"/>
      <c r="S258" s="88"/>
      <c r="T258" s="88"/>
      <c r="U258" s="88"/>
      <c r="V258" s="88"/>
      <c r="W258" s="225"/>
      <c r="Y258" s="214"/>
      <c r="Z258" s="184"/>
    </row>
    <row r="259" spans="1:26" ht="15.75" customHeight="1" x14ac:dyDescent="0.3">
      <c r="A259" s="15"/>
      <c r="E259" s="374"/>
      <c r="Q259" s="88"/>
      <c r="R259" s="88"/>
      <c r="S259" s="88"/>
      <c r="T259" s="88"/>
      <c r="U259" s="88"/>
      <c r="V259" s="88"/>
      <c r="W259" s="225"/>
      <c r="Y259" s="214"/>
      <c r="Z259" s="184"/>
    </row>
    <row r="260" spans="1:26" ht="15.75" customHeight="1" x14ac:dyDescent="0.3">
      <c r="A260" s="15"/>
      <c r="E260" s="374"/>
      <c r="Q260" s="88"/>
      <c r="R260" s="88"/>
      <c r="S260" s="88"/>
      <c r="T260" s="88"/>
      <c r="U260" s="88"/>
      <c r="V260" s="88"/>
      <c r="W260" s="225"/>
      <c r="Y260" s="214"/>
      <c r="Z260" s="184"/>
    </row>
    <row r="261" spans="1:26" ht="15.75" customHeight="1" x14ac:dyDescent="0.3">
      <c r="A261" s="15"/>
      <c r="E261" s="374"/>
      <c r="Q261" s="88"/>
      <c r="R261" s="88"/>
      <c r="S261" s="88"/>
      <c r="T261" s="88"/>
      <c r="U261" s="88"/>
      <c r="V261" s="88"/>
      <c r="W261" s="225"/>
      <c r="Y261" s="214"/>
      <c r="Z261" s="184"/>
    </row>
    <row r="262" spans="1:26" ht="15.75" customHeight="1" x14ac:dyDescent="0.3">
      <c r="A262" s="15"/>
      <c r="E262" s="374"/>
      <c r="Q262" s="88"/>
      <c r="R262" s="88"/>
      <c r="S262" s="88"/>
      <c r="T262" s="88"/>
      <c r="U262" s="88"/>
      <c r="V262" s="88"/>
      <c r="W262" s="225"/>
      <c r="Y262" s="214"/>
      <c r="Z262" s="184"/>
    </row>
    <row r="263" spans="1:26" ht="15.75" customHeight="1" x14ac:dyDescent="0.3">
      <c r="A263" s="15"/>
      <c r="E263" s="374"/>
      <c r="Q263" s="88"/>
      <c r="R263" s="88"/>
      <c r="S263" s="88"/>
      <c r="T263" s="88"/>
      <c r="U263" s="88"/>
      <c r="V263" s="88"/>
      <c r="W263" s="225"/>
      <c r="Y263" s="214"/>
      <c r="Z263" s="184"/>
    </row>
    <row r="264" spans="1:26" ht="15.75" customHeight="1" x14ac:dyDescent="0.3">
      <c r="A264" s="15"/>
      <c r="E264" s="374"/>
      <c r="Q264" s="88"/>
      <c r="R264" s="88"/>
      <c r="S264" s="88"/>
      <c r="T264" s="88"/>
      <c r="U264" s="88"/>
      <c r="V264" s="88"/>
      <c r="W264" s="225"/>
      <c r="Y264" s="214"/>
      <c r="Z264" s="184"/>
    </row>
    <row r="265" spans="1:26" ht="15.75" customHeight="1" x14ac:dyDescent="0.3">
      <c r="A265" s="15"/>
      <c r="E265" s="374"/>
      <c r="Q265" s="88"/>
      <c r="R265" s="88"/>
      <c r="S265" s="88"/>
      <c r="T265" s="88"/>
      <c r="U265" s="88"/>
      <c r="V265" s="88"/>
      <c r="W265" s="225"/>
      <c r="Y265" s="214"/>
      <c r="Z265" s="184"/>
    </row>
    <row r="266" spans="1:26" ht="26.25" customHeight="1" x14ac:dyDescent="0.3">
      <c r="A266" s="26"/>
      <c r="B266" s="660" t="s">
        <v>248</v>
      </c>
      <c r="C266" s="660"/>
      <c r="D266" s="660"/>
      <c r="E266" s="660"/>
      <c r="F266" s="660"/>
      <c r="G266" s="660"/>
      <c r="H266" s="19"/>
      <c r="I266" s="25"/>
      <c r="J266" s="25"/>
      <c r="K266" s="25"/>
      <c r="L266" s="25"/>
      <c r="Q266" s="88"/>
      <c r="R266" s="88"/>
      <c r="S266" s="88"/>
      <c r="T266" s="88"/>
      <c r="U266" s="88"/>
      <c r="V266" s="88"/>
      <c r="W266" s="225"/>
      <c r="Y266" s="214"/>
      <c r="Z266" s="184"/>
    </row>
    <row r="267" spans="1:26" ht="15.75" customHeight="1" x14ac:dyDescent="0.3">
      <c r="A267" s="15"/>
      <c r="E267" s="374"/>
      <c r="Q267" s="88"/>
      <c r="R267" s="88"/>
      <c r="S267" s="88"/>
      <c r="T267" s="88"/>
      <c r="U267" s="88"/>
      <c r="V267" s="88"/>
      <c r="W267" s="216"/>
      <c r="Y267" s="214"/>
      <c r="Z267" s="184"/>
    </row>
    <row r="268" spans="1:26" ht="15.75" customHeight="1" x14ac:dyDescent="0.3">
      <c r="A268" s="15"/>
      <c r="E268" s="374"/>
      <c r="Q268" s="88"/>
      <c r="R268" s="88"/>
      <c r="S268" s="88"/>
      <c r="T268" s="88"/>
      <c r="U268" s="88"/>
      <c r="V268" s="88"/>
      <c r="W268" s="216"/>
    </row>
    <row r="269" spans="1:26" ht="15.75" customHeight="1" x14ac:dyDescent="0.3">
      <c r="A269" s="15"/>
      <c r="E269" s="374"/>
      <c r="Q269" s="88"/>
      <c r="R269" s="88"/>
      <c r="S269" s="88"/>
      <c r="T269" s="88"/>
      <c r="U269" s="88"/>
      <c r="V269" s="88"/>
      <c r="W269" s="151"/>
      <c r="Y269" s="153"/>
      <c r="Z269" s="226"/>
    </row>
    <row r="270" spans="1:26" ht="30" customHeight="1" x14ac:dyDescent="0.3">
      <c r="A270" s="15"/>
      <c r="B270" s="440" t="s">
        <v>105</v>
      </c>
      <c r="C270" s="495" t="s">
        <v>58</v>
      </c>
      <c r="D270" s="504" t="s">
        <v>129</v>
      </c>
      <c r="F270" s="12"/>
      <c r="G270" s="3"/>
      <c r="H270" s="19"/>
      <c r="L270" s="22"/>
      <c r="M270" s="19"/>
      <c r="P270" s="88"/>
      <c r="Q270" s="88"/>
      <c r="R270" s="88"/>
      <c r="S270" s="88"/>
      <c r="T270" s="88"/>
      <c r="U270" s="88"/>
      <c r="V270" s="151"/>
      <c r="W270" s="227" t="s">
        <v>105</v>
      </c>
      <c r="X270" s="218" t="s">
        <v>58</v>
      </c>
      <c r="Y270" s="218" t="s">
        <v>234</v>
      </c>
      <c r="Z270" s="218" t="s">
        <v>233</v>
      </c>
    </row>
    <row r="271" spans="1:26" s="3" customFormat="1" ht="21" customHeight="1" x14ac:dyDescent="0.3">
      <c r="A271" s="46"/>
      <c r="B271" s="378" t="s">
        <v>130</v>
      </c>
      <c r="C271" s="368">
        <f>+X271</f>
        <v>75</v>
      </c>
      <c r="D271" s="372">
        <f>+Y271</f>
        <v>20.191315896266666</v>
      </c>
      <c r="E271" s="368"/>
      <c r="L271" s="293"/>
      <c r="P271" s="90"/>
      <c r="Q271" s="90"/>
      <c r="R271" s="90"/>
      <c r="S271" s="90"/>
      <c r="T271" s="90"/>
      <c r="U271" s="90"/>
      <c r="V271" s="153"/>
      <c r="W271" s="148" t="s">
        <v>130</v>
      </c>
      <c r="X271" s="153">
        <v>75</v>
      </c>
      <c r="Y271" s="228">
        <f>(Z271/X271)/1000000</f>
        <v>20.191315896266666</v>
      </c>
      <c r="Z271" s="228">
        <v>1514348692.2199998</v>
      </c>
    </row>
    <row r="272" spans="1:26" s="3" customFormat="1" ht="21" customHeight="1" x14ac:dyDescent="0.3">
      <c r="A272" s="46"/>
      <c r="B272" s="378" t="s">
        <v>131</v>
      </c>
      <c r="C272" s="368">
        <f>+X272</f>
        <v>2</v>
      </c>
      <c r="D272" s="372">
        <f t="shared" ref="D272:D273" si="9">+Y272</f>
        <v>15.256976679999999</v>
      </c>
      <c r="E272" s="368"/>
      <c r="L272" s="293"/>
      <c r="P272" s="90"/>
      <c r="Q272" s="90"/>
      <c r="R272" s="90"/>
      <c r="S272" s="90"/>
      <c r="T272" s="90"/>
      <c r="U272" s="90"/>
      <c r="V272" s="153"/>
      <c r="W272" s="148" t="s">
        <v>131</v>
      </c>
      <c r="X272" s="153">
        <v>2</v>
      </c>
      <c r="Y272" s="228">
        <f>(Z272/X272)/1000000</f>
        <v>15.256976679999999</v>
      </c>
      <c r="Z272" s="228">
        <v>30513953.359999999</v>
      </c>
    </row>
    <row r="273" spans="1:32" s="3" customFormat="1" ht="21" customHeight="1" x14ac:dyDescent="0.3">
      <c r="A273" s="46"/>
      <c r="B273" s="378" t="s">
        <v>132</v>
      </c>
      <c r="C273" s="368">
        <f>+X273</f>
        <v>88</v>
      </c>
      <c r="D273" s="372">
        <f t="shared" si="9"/>
        <v>19.165025632272723</v>
      </c>
      <c r="E273" s="368"/>
      <c r="L273" s="293"/>
      <c r="P273" s="90"/>
      <c r="Q273" s="90"/>
      <c r="R273" s="90"/>
      <c r="S273" s="90"/>
      <c r="T273" s="90"/>
      <c r="U273" s="90"/>
      <c r="V273" s="229"/>
      <c r="W273" s="148" t="s">
        <v>132</v>
      </c>
      <c r="X273" s="153">
        <v>88</v>
      </c>
      <c r="Y273" s="228">
        <f>(Z273/X273)/1000000</f>
        <v>19.165025632272723</v>
      </c>
      <c r="Z273" s="228">
        <v>1686522255.6399996</v>
      </c>
    </row>
    <row r="274" spans="1:32" ht="15.75" customHeight="1" x14ac:dyDescent="0.3">
      <c r="A274" s="15"/>
      <c r="B274" s="505" t="s">
        <v>29</v>
      </c>
      <c r="C274" s="369">
        <f>SUM(C271:C273)</f>
        <v>165</v>
      </c>
      <c r="D274" s="432">
        <f>SUM(D271:D273)</f>
        <v>54.61331820853939</v>
      </c>
      <c r="F274" s="12"/>
      <c r="G274" s="3"/>
      <c r="H274" s="19"/>
      <c r="L274" s="22"/>
      <c r="M274" s="19"/>
      <c r="P274" s="88"/>
      <c r="Q274" s="88"/>
      <c r="R274" s="88"/>
      <c r="S274" s="88"/>
      <c r="T274" s="88"/>
      <c r="U274" s="88"/>
      <c r="V274" s="216"/>
      <c r="W274" s="220" t="s">
        <v>29</v>
      </c>
      <c r="X274" s="230">
        <f>SUM(X271:X273)</f>
        <v>165</v>
      </c>
      <c r="Y274" s="231"/>
      <c r="Z274" s="231">
        <f>SUM(Z271:Z273)</f>
        <v>3231384901.2199993</v>
      </c>
    </row>
    <row r="275" spans="1:32" ht="15.75" customHeight="1" x14ac:dyDescent="0.3">
      <c r="A275" s="15"/>
      <c r="E275" s="368"/>
      <c r="Q275" s="88"/>
      <c r="R275" s="88"/>
      <c r="S275" s="88"/>
      <c r="T275" s="88"/>
      <c r="U275" s="88"/>
      <c r="V275" s="88"/>
      <c r="W275" s="216"/>
      <c r="Y275" s="214"/>
      <c r="Z275" s="184"/>
    </row>
    <row r="276" spans="1:32" ht="15.75" customHeight="1" x14ac:dyDescent="0.3">
      <c r="A276" s="15"/>
      <c r="Q276" s="88"/>
      <c r="R276" s="88"/>
      <c r="S276" s="88"/>
      <c r="T276" s="88"/>
      <c r="U276" s="88"/>
      <c r="V276" s="88"/>
      <c r="W276" s="216"/>
      <c r="Y276" s="214"/>
      <c r="Z276" s="184"/>
    </row>
    <row r="277" spans="1:32" ht="15.75" customHeight="1" x14ac:dyDescent="0.3">
      <c r="A277" s="15"/>
      <c r="E277" s="374"/>
      <c r="Q277" s="88"/>
      <c r="R277" s="88"/>
      <c r="S277" s="88"/>
      <c r="T277" s="88"/>
      <c r="U277" s="88"/>
      <c r="V277" s="88"/>
      <c r="W277" s="225"/>
      <c r="Y277" s="214"/>
      <c r="Z277" s="184"/>
    </row>
    <row r="278" spans="1:32" ht="15.75" customHeight="1" x14ac:dyDescent="0.25">
      <c r="E278" s="449"/>
      <c r="J278" s="74"/>
      <c r="Y278" s="214"/>
      <c r="Z278" s="184"/>
    </row>
    <row r="279" spans="1:32" ht="15.75" customHeight="1" x14ac:dyDescent="0.25">
      <c r="B279" s="476"/>
      <c r="C279" s="378"/>
      <c r="D279" s="378"/>
      <c r="E279" s="378"/>
      <c r="J279" s="13"/>
      <c r="W279" s="232"/>
      <c r="Y279" s="214"/>
      <c r="Z279" s="184"/>
    </row>
    <row r="280" spans="1:32" ht="15" customHeight="1" x14ac:dyDescent="0.25">
      <c r="B280" s="476"/>
      <c r="C280" s="378"/>
      <c r="D280" s="378"/>
      <c r="E280" s="378"/>
      <c r="J280" s="13"/>
      <c r="W280" s="233"/>
      <c r="Y280" s="214"/>
      <c r="Z280" s="184"/>
    </row>
    <row r="281" spans="1:32" ht="14.25" customHeight="1" x14ac:dyDescent="0.25">
      <c r="B281" s="476"/>
      <c r="C281" s="378"/>
      <c r="D281" s="378"/>
      <c r="E281" s="378"/>
      <c r="J281" s="13"/>
      <c r="W281" s="233"/>
      <c r="Y281" s="214"/>
      <c r="Z281" s="184"/>
    </row>
    <row r="282" spans="1:32" ht="15" customHeight="1" x14ac:dyDescent="0.25">
      <c r="B282" s="476"/>
      <c r="C282" s="378"/>
      <c r="D282" s="378"/>
      <c r="E282" s="378"/>
      <c r="J282" s="13"/>
      <c r="W282" s="233"/>
      <c r="Y282" s="214"/>
      <c r="Z282" s="184"/>
    </row>
    <row r="283" spans="1:32" x14ac:dyDescent="0.25">
      <c r="B283" s="476"/>
      <c r="C283" s="378"/>
      <c r="D283" s="378"/>
      <c r="E283" s="378"/>
      <c r="J283" s="13"/>
      <c r="W283" s="233"/>
      <c r="Y283" s="214"/>
      <c r="Z283" s="184"/>
    </row>
    <row r="284" spans="1:32" ht="15" customHeight="1" x14ac:dyDescent="0.25">
      <c r="B284" s="476"/>
      <c r="C284" s="474"/>
      <c r="D284" s="474"/>
      <c r="E284" s="378"/>
      <c r="J284" s="13"/>
      <c r="W284" s="233"/>
      <c r="Y284" s="214"/>
      <c r="Z284" s="184"/>
    </row>
    <row r="285" spans="1:32" ht="15" customHeight="1" x14ac:dyDescent="0.25">
      <c r="B285" s="476"/>
      <c r="C285" s="378"/>
      <c r="D285" s="378"/>
      <c r="E285" s="378"/>
      <c r="J285" s="13"/>
      <c r="W285" s="233"/>
      <c r="Z285" s="184"/>
    </row>
    <row r="286" spans="1:32" ht="15" customHeight="1" x14ac:dyDescent="0.25">
      <c r="B286" s="476"/>
      <c r="C286" s="378"/>
      <c r="D286" s="378"/>
      <c r="E286" s="378"/>
      <c r="J286" s="13"/>
      <c r="W286" s="233"/>
      <c r="Y286" s="184"/>
      <c r="Z286" s="183"/>
    </row>
    <row r="287" spans="1:32" ht="27.75" customHeight="1" x14ac:dyDescent="0.25">
      <c r="A287" s="26"/>
      <c r="B287" s="660" t="s">
        <v>165</v>
      </c>
      <c r="C287" s="660"/>
      <c r="D287" s="660"/>
      <c r="E287" s="660"/>
      <c r="H287" s="12"/>
      <c r="I287" s="12"/>
      <c r="J287" s="12"/>
      <c r="L287" s="65"/>
      <c r="Q287" s="3"/>
      <c r="R287" s="3"/>
      <c r="S287" s="3"/>
      <c r="T287" s="3"/>
      <c r="U287" s="3"/>
      <c r="V287" s="3"/>
      <c r="Y287" s="207"/>
      <c r="Z287" s="208"/>
      <c r="AA287" s="184"/>
      <c r="AB287" s="18"/>
      <c r="AC287" s="21"/>
      <c r="AD287" s="18"/>
      <c r="AE287" s="21"/>
      <c r="AF287" s="21"/>
    </row>
    <row r="288" spans="1:32" ht="15" customHeight="1" thickBot="1" x14ac:dyDescent="0.3">
      <c r="A288" s="26"/>
      <c r="B288" s="385"/>
      <c r="C288" s="386"/>
      <c r="D288" s="386"/>
      <c r="E288" s="368"/>
      <c r="J288" s="3"/>
      <c r="W288" s="233"/>
      <c r="Y288" s="184"/>
      <c r="Z288" s="183"/>
    </row>
    <row r="289" spans="1:17" ht="15" customHeight="1" thickBot="1" x14ac:dyDescent="0.3">
      <c r="A289" s="26"/>
      <c r="B289" s="385"/>
      <c r="C289" s="673" t="s">
        <v>52</v>
      </c>
      <c r="D289" s="674"/>
      <c r="E289" s="671" t="s">
        <v>162</v>
      </c>
      <c r="F289" s="672"/>
      <c r="G289" s="671" t="s">
        <v>299</v>
      </c>
      <c r="H289" s="672"/>
      <c r="J289" s="3"/>
    </row>
    <row r="290" spans="1:17" ht="15" customHeight="1" thickBot="1" x14ac:dyDescent="0.3">
      <c r="A290" s="15"/>
      <c r="B290" s="590" t="s">
        <v>28</v>
      </c>
      <c r="C290" s="591" t="s">
        <v>58</v>
      </c>
      <c r="D290" s="592" t="s">
        <v>97</v>
      </c>
      <c r="E290" s="591" t="s">
        <v>58</v>
      </c>
      <c r="F290" s="593" t="s">
        <v>97</v>
      </c>
      <c r="G290" s="594" t="s">
        <v>300</v>
      </c>
      <c r="H290" s="556" t="s">
        <v>301</v>
      </c>
      <c r="I290" s="3"/>
      <c r="L290" s="22"/>
      <c r="M290" s="19"/>
      <c r="Q290" s="19"/>
    </row>
    <row r="291" spans="1:17" x14ac:dyDescent="0.25">
      <c r="A291" s="15"/>
      <c r="B291" s="587" t="s">
        <v>59</v>
      </c>
      <c r="C291" s="588">
        <v>54</v>
      </c>
      <c r="D291" s="589">
        <v>511.95699999999999</v>
      </c>
      <c r="E291" s="588">
        <v>96</v>
      </c>
      <c r="F291" s="589">
        <v>1864.5973263800001</v>
      </c>
      <c r="G291" s="588">
        <v>150</v>
      </c>
      <c r="H291" s="589">
        <v>2376.55432638</v>
      </c>
      <c r="I291" s="3"/>
      <c r="L291" s="22"/>
      <c r="M291" s="19"/>
      <c r="O291" s="12"/>
      <c r="P291" s="12"/>
      <c r="Q291" s="19"/>
    </row>
    <row r="292" spans="1:17" x14ac:dyDescent="0.25">
      <c r="A292" s="15"/>
      <c r="B292" s="581" t="s">
        <v>32</v>
      </c>
      <c r="C292" s="582">
        <v>305</v>
      </c>
      <c r="D292" s="583">
        <v>2714.181</v>
      </c>
      <c r="E292" s="588">
        <v>137</v>
      </c>
      <c r="F292" s="589">
        <v>2622.9705079299997</v>
      </c>
      <c r="G292" s="588">
        <v>442</v>
      </c>
      <c r="H292" s="589">
        <v>5337.1515079299998</v>
      </c>
      <c r="I292" s="3"/>
      <c r="L292" s="22"/>
      <c r="M292" s="19"/>
      <c r="O292" s="12"/>
      <c r="P292" s="12"/>
      <c r="Q292" s="19"/>
    </row>
    <row r="293" spans="1:17" hidden="1" x14ac:dyDescent="0.25">
      <c r="A293" s="15"/>
      <c r="B293" s="581" t="s">
        <v>33</v>
      </c>
      <c r="C293" s="582">
        <v>0</v>
      </c>
      <c r="D293" s="583">
        <v>0</v>
      </c>
      <c r="E293" s="588">
        <v>0</v>
      </c>
      <c r="F293" s="589">
        <v>0</v>
      </c>
      <c r="G293" s="588">
        <v>0</v>
      </c>
      <c r="H293" s="589">
        <v>0</v>
      </c>
      <c r="I293" s="3"/>
      <c r="L293" s="22"/>
      <c r="M293" s="19"/>
      <c r="O293" s="12"/>
      <c r="P293" s="12"/>
      <c r="Q293" s="19"/>
    </row>
    <row r="294" spans="1:17" hidden="1" x14ac:dyDescent="0.25">
      <c r="A294" s="15"/>
      <c r="B294" s="581" t="s">
        <v>34</v>
      </c>
      <c r="C294" s="582">
        <v>0</v>
      </c>
      <c r="D294" s="583">
        <v>0</v>
      </c>
      <c r="E294" s="588">
        <v>0</v>
      </c>
      <c r="F294" s="589">
        <v>0</v>
      </c>
      <c r="G294" s="588">
        <v>0</v>
      </c>
      <c r="H294" s="589">
        <v>0</v>
      </c>
      <c r="I294" s="3"/>
      <c r="L294" s="22"/>
      <c r="M294" s="19"/>
      <c r="Q294" s="21"/>
    </row>
    <row r="295" spans="1:17" hidden="1" x14ac:dyDescent="0.25">
      <c r="A295" s="15"/>
      <c r="B295" s="581" t="s">
        <v>35</v>
      </c>
      <c r="C295" s="582">
        <v>0</v>
      </c>
      <c r="D295" s="583">
        <v>0</v>
      </c>
      <c r="E295" s="588">
        <v>0</v>
      </c>
      <c r="F295" s="589">
        <v>0</v>
      </c>
      <c r="G295" s="588">
        <v>0</v>
      </c>
      <c r="H295" s="589">
        <v>0</v>
      </c>
      <c r="I295" s="3"/>
      <c r="L295" s="22"/>
      <c r="M295" s="19"/>
      <c r="Q295" s="21"/>
    </row>
    <row r="296" spans="1:17" hidden="1" x14ac:dyDescent="0.25">
      <c r="A296" s="15"/>
      <c r="B296" s="581" t="s">
        <v>31</v>
      </c>
      <c r="C296" s="582">
        <v>0</v>
      </c>
      <c r="D296" s="583">
        <v>0</v>
      </c>
      <c r="E296" s="588">
        <v>0</v>
      </c>
      <c r="F296" s="589">
        <v>0</v>
      </c>
      <c r="G296" s="588">
        <v>0</v>
      </c>
      <c r="H296" s="589">
        <v>0</v>
      </c>
      <c r="I296" s="3"/>
      <c r="L296" s="22"/>
      <c r="M296" s="19"/>
      <c r="Q296" s="21"/>
    </row>
    <row r="297" spans="1:17" hidden="1" x14ac:dyDescent="0.25">
      <c r="A297" s="15"/>
      <c r="B297" s="581" t="s">
        <v>36</v>
      </c>
      <c r="C297" s="582">
        <v>0</v>
      </c>
      <c r="D297" s="583">
        <v>0</v>
      </c>
      <c r="E297" s="588">
        <v>0</v>
      </c>
      <c r="F297" s="589">
        <v>0</v>
      </c>
      <c r="G297" s="588">
        <v>0</v>
      </c>
      <c r="H297" s="589">
        <v>0</v>
      </c>
      <c r="I297" s="3"/>
      <c r="L297" s="22"/>
      <c r="M297" s="19"/>
      <c r="Q297" s="21"/>
    </row>
    <row r="298" spans="1:17" hidden="1" x14ac:dyDescent="0.25">
      <c r="A298" s="15"/>
      <c r="B298" s="581" t="s">
        <v>37</v>
      </c>
      <c r="C298" s="582">
        <v>0</v>
      </c>
      <c r="D298" s="583">
        <v>0</v>
      </c>
      <c r="E298" s="588">
        <v>0</v>
      </c>
      <c r="F298" s="589">
        <v>0</v>
      </c>
      <c r="G298" s="588">
        <v>0</v>
      </c>
      <c r="H298" s="589">
        <v>0</v>
      </c>
      <c r="I298" s="3"/>
      <c r="L298" s="22"/>
      <c r="M298" s="19"/>
      <c r="Q298" s="21"/>
    </row>
    <row r="299" spans="1:17" hidden="1" x14ac:dyDescent="0.25">
      <c r="A299" s="15"/>
      <c r="B299" s="581" t="s">
        <v>38</v>
      </c>
      <c r="C299" s="582">
        <v>0</v>
      </c>
      <c r="D299" s="583">
        <v>0</v>
      </c>
      <c r="E299" s="588">
        <v>0</v>
      </c>
      <c r="F299" s="589">
        <v>0</v>
      </c>
      <c r="G299" s="588">
        <v>0</v>
      </c>
      <c r="H299" s="589">
        <v>0</v>
      </c>
      <c r="I299" s="3"/>
      <c r="L299" s="22"/>
      <c r="M299" s="19"/>
      <c r="Q299" s="21"/>
    </row>
    <row r="300" spans="1:17" hidden="1" x14ac:dyDescent="0.25">
      <c r="A300" s="15"/>
      <c r="B300" s="581" t="s">
        <v>39</v>
      </c>
      <c r="C300" s="582">
        <v>0</v>
      </c>
      <c r="D300" s="583">
        <v>0</v>
      </c>
      <c r="E300" s="588">
        <v>0</v>
      </c>
      <c r="F300" s="589">
        <v>0</v>
      </c>
      <c r="G300" s="588">
        <v>0</v>
      </c>
      <c r="H300" s="589">
        <v>0</v>
      </c>
      <c r="I300" s="3">
        <v>959</v>
      </c>
      <c r="J300" s="19">
        <v>11038.270843050001</v>
      </c>
      <c r="L300" s="22"/>
      <c r="M300" s="19"/>
      <c r="Q300" s="21"/>
    </row>
    <row r="301" spans="1:17" hidden="1" x14ac:dyDescent="0.25">
      <c r="A301" s="15"/>
      <c r="B301" s="581" t="s">
        <v>40</v>
      </c>
      <c r="C301" s="582">
        <v>0</v>
      </c>
      <c r="D301" s="583">
        <v>0</v>
      </c>
      <c r="E301" s="588">
        <v>0</v>
      </c>
      <c r="F301" s="589">
        <v>0</v>
      </c>
      <c r="G301" s="588">
        <v>0</v>
      </c>
      <c r="H301" s="589">
        <v>0</v>
      </c>
      <c r="I301" s="3"/>
      <c r="L301" s="22"/>
      <c r="M301" s="19"/>
      <c r="Q301" s="19"/>
    </row>
    <row r="302" spans="1:17" hidden="1" x14ac:dyDescent="0.25">
      <c r="A302" s="15"/>
      <c r="B302" s="581" t="s">
        <v>60</v>
      </c>
      <c r="C302" s="582">
        <v>0</v>
      </c>
      <c r="D302" s="583">
        <v>0</v>
      </c>
      <c r="E302" s="588">
        <v>0</v>
      </c>
      <c r="F302" s="589">
        <v>0</v>
      </c>
      <c r="G302" s="588">
        <v>0</v>
      </c>
      <c r="H302" s="589">
        <v>0</v>
      </c>
      <c r="I302" s="3"/>
      <c r="L302" s="22"/>
      <c r="M302" s="19"/>
      <c r="Q302" s="19"/>
    </row>
    <row r="303" spans="1:17" x14ac:dyDescent="0.25">
      <c r="A303" s="15"/>
      <c r="B303" s="584" t="s">
        <v>6</v>
      </c>
      <c r="C303" s="585">
        <f t="shared" ref="C303:H303" si="10">SUM(C291:C302)</f>
        <v>359</v>
      </c>
      <c r="D303" s="586">
        <f t="shared" si="10"/>
        <v>3226.1379999999999</v>
      </c>
      <c r="E303" s="585">
        <f t="shared" si="10"/>
        <v>233</v>
      </c>
      <c r="F303" s="586">
        <f t="shared" si="10"/>
        <v>4487.5678343099999</v>
      </c>
      <c r="G303" s="585">
        <f t="shared" si="10"/>
        <v>592</v>
      </c>
      <c r="H303" s="586">
        <f t="shared" si="10"/>
        <v>7713.7058343099998</v>
      </c>
      <c r="I303" s="3"/>
      <c r="L303" s="22"/>
      <c r="M303" s="19"/>
      <c r="O303" s="12"/>
      <c r="P303" s="12"/>
      <c r="Q303" s="19"/>
    </row>
    <row r="304" spans="1:17" ht="29.25" customHeight="1" x14ac:dyDescent="0.25">
      <c r="A304" s="15"/>
      <c r="B304" s="670" t="s">
        <v>296</v>
      </c>
      <c r="C304" s="670"/>
      <c r="D304" s="670"/>
      <c r="E304" s="670"/>
      <c r="F304" s="29"/>
      <c r="G304" s="13"/>
      <c r="H304" s="36"/>
      <c r="I304" s="29"/>
      <c r="J304" s="3"/>
    </row>
    <row r="305" spans="1:16" ht="15" customHeight="1" x14ac:dyDescent="0.25">
      <c r="A305" s="15"/>
      <c r="B305" s="670"/>
      <c r="C305" s="670"/>
      <c r="D305" s="670"/>
      <c r="E305" s="670"/>
      <c r="J305" s="3"/>
    </row>
    <row r="306" spans="1:16" ht="45" customHeight="1" x14ac:dyDescent="0.25">
      <c r="A306" s="15"/>
      <c r="B306" s="670"/>
      <c r="C306" s="670"/>
      <c r="D306" s="670"/>
      <c r="E306" s="670"/>
      <c r="J306" s="14"/>
      <c r="N306" s="22"/>
      <c r="O306" s="22"/>
      <c r="P306" s="22"/>
    </row>
    <row r="307" spans="1:16" ht="17.25" customHeight="1" x14ac:dyDescent="0.25">
      <c r="A307" s="15"/>
      <c r="B307" s="421"/>
      <c r="C307" s="399"/>
      <c r="D307" s="399"/>
      <c r="E307" s="421"/>
      <c r="J307" s="14"/>
      <c r="N307" s="22"/>
      <c r="O307" s="22"/>
      <c r="P307" s="22"/>
    </row>
    <row r="308" spans="1:16" ht="15.75" customHeight="1" x14ac:dyDescent="0.25">
      <c r="A308" s="15"/>
      <c r="B308" s="421"/>
      <c r="C308" s="421"/>
      <c r="D308" s="421"/>
      <c r="E308" s="421"/>
      <c r="J308" s="14"/>
      <c r="N308" s="22"/>
      <c r="O308" s="22"/>
      <c r="P308" s="22"/>
    </row>
    <row r="309" spans="1:16" ht="17.25" hidden="1" customHeight="1" x14ac:dyDescent="0.25">
      <c r="A309" s="15"/>
      <c r="B309" s="421"/>
      <c r="C309" s="421"/>
      <c r="D309" s="421"/>
      <c r="E309" s="421"/>
      <c r="J309" s="14"/>
      <c r="N309" s="22"/>
      <c r="O309" s="22"/>
      <c r="P309" s="22"/>
    </row>
    <row r="310" spans="1:16" ht="17.25" customHeight="1" x14ac:dyDescent="0.25">
      <c r="A310" s="15"/>
      <c r="B310" s="421"/>
      <c r="C310" s="399"/>
      <c r="D310" s="399"/>
      <c r="E310" s="421"/>
      <c r="J310" s="14"/>
      <c r="N310" s="22"/>
      <c r="O310" s="22"/>
      <c r="P310" s="22"/>
    </row>
    <row r="311" spans="1:16" ht="15" customHeight="1" x14ac:dyDescent="0.25">
      <c r="A311" s="15"/>
      <c r="B311" s="400"/>
      <c r="C311" s="401"/>
      <c r="D311" s="401"/>
      <c r="E311" s="402"/>
      <c r="G311" s="19"/>
      <c r="N311" s="22"/>
      <c r="O311" s="22"/>
      <c r="P311" s="22"/>
    </row>
    <row r="312" spans="1:16" ht="26.25" customHeight="1" x14ac:dyDescent="0.25">
      <c r="A312" s="15"/>
      <c r="B312" s="660" t="s">
        <v>166</v>
      </c>
      <c r="C312" s="660"/>
      <c r="D312" s="441"/>
      <c r="E312" s="403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425" t="s">
        <v>28</v>
      </c>
      <c r="C314" s="369" t="s">
        <v>3</v>
      </c>
      <c r="D314" s="423" t="s">
        <v>97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420" t="s">
        <v>59</v>
      </c>
      <c r="C315" s="368">
        <v>10</v>
      </c>
      <c r="D315" s="372">
        <v>91438000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420" t="s">
        <v>32</v>
      </c>
      <c r="C316" s="368">
        <v>9</v>
      </c>
      <c r="D316" s="372">
        <v>79709000</v>
      </c>
      <c r="F316" s="29"/>
      <c r="G316" s="3"/>
      <c r="H316" s="19"/>
      <c r="L316" s="22"/>
      <c r="N316" s="22"/>
      <c r="O316" s="22"/>
      <c r="P316" s="22"/>
    </row>
    <row r="317" spans="1:16" hidden="1" x14ac:dyDescent="0.25">
      <c r="A317" s="15"/>
      <c r="B317" s="420" t="s">
        <v>33</v>
      </c>
      <c r="C317" s="368">
        <v>0</v>
      </c>
      <c r="D317" s="372">
        <v>0</v>
      </c>
      <c r="F317" s="29"/>
      <c r="G317" s="3"/>
      <c r="H317" s="19"/>
      <c r="L317" s="22"/>
      <c r="N317" s="22"/>
      <c r="O317" s="22"/>
      <c r="P317" s="22"/>
    </row>
    <row r="318" spans="1:16" hidden="1" x14ac:dyDescent="0.25">
      <c r="A318" s="15"/>
      <c r="B318" s="420" t="s">
        <v>34</v>
      </c>
      <c r="C318" s="368">
        <v>0</v>
      </c>
      <c r="D318" s="372">
        <v>0</v>
      </c>
      <c r="F318" s="29"/>
      <c r="G318" s="3"/>
      <c r="H318" s="19"/>
      <c r="L318" s="22"/>
      <c r="N318" s="22"/>
      <c r="O318" s="22"/>
      <c r="P318" s="22"/>
    </row>
    <row r="319" spans="1:16" hidden="1" x14ac:dyDescent="0.25">
      <c r="A319" s="15"/>
      <c r="B319" s="420" t="s">
        <v>35</v>
      </c>
      <c r="C319" s="368">
        <v>0</v>
      </c>
      <c r="D319" s="372">
        <v>0</v>
      </c>
      <c r="F319" s="29"/>
      <c r="G319" s="3"/>
      <c r="H319" s="19"/>
      <c r="L319" s="22"/>
      <c r="N319" s="22"/>
      <c r="O319" s="22"/>
      <c r="P319" s="22"/>
    </row>
    <row r="320" spans="1:16" hidden="1" x14ac:dyDescent="0.25">
      <c r="A320" s="15"/>
      <c r="B320" s="420" t="s">
        <v>31</v>
      </c>
      <c r="C320" s="368">
        <v>0</v>
      </c>
      <c r="D320" s="372">
        <v>0</v>
      </c>
      <c r="F320" s="29"/>
      <c r="G320" s="3"/>
      <c r="H320" s="19"/>
      <c r="L320" s="22"/>
      <c r="N320" s="22"/>
      <c r="O320" s="22"/>
      <c r="P320" s="22"/>
    </row>
    <row r="321" spans="1:17" hidden="1" x14ac:dyDescent="0.25">
      <c r="A321" s="15"/>
      <c r="B321" s="420" t="s">
        <v>36</v>
      </c>
      <c r="C321" s="368">
        <v>0</v>
      </c>
      <c r="D321" s="372">
        <v>0</v>
      </c>
      <c r="F321" s="29"/>
      <c r="G321" s="3"/>
      <c r="H321" s="19"/>
      <c r="L321" s="22"/>
      <c r="N321" s="22"/>
      <c r="O321" s="22"/>
      <c r="P321" s="22"/>
    </row>
    <row r="322" spans="1:17" hidden="1" x14ac:dyDescent="0.25">
      <c r="A322" s="15"/>
      <c r="B322" s="420" t="s">
        <v>37</v>
      </c>
      <c r="C322" s="368">
        <v>0</v>
      </c>
      <c r="D322" s="372">
        <v>0</v>
      </c>
      <c r="F322" s="29"/>
      <c r="G322" s="3"/>
      <c r="H322" s="19"/>
      <c r="L322" s="22"/>
      <c r="N322" s="22"/>
      <c r="O322" s="22"/>
      <c r="P322" s="22"/>
    </row>
    <row r="323" spans="1:17" hidden="1" x14ac:dyDescent="0.25">
      <c r="A323" s="15"/>
      <c r="B323" s="420" t="s">
        <v>38</v>
      </c>
      <c r="C323" s="368">
        <v>0</v>
      </c>
      <c r="D323" s="372">
        <v>0</v>
      </c>
      <c r="E323" s="297"/>
      <c r="F323" s="29"/>
      <c r="G323" s="3"/>
      <c r="H323" s="19"/>
      <c r="L323" s="22"/>
      <c r="N323" s="22"/>
      <c r="O323" s="22"/>
      <c r="P323" s="22"/>
    </row>
    <row r="324" spans="1:17" hidden="1" x14ac:dyDescent="0.25">
      <c r="A324" s="15"/>
      <c r="B324" s="420" t="s">
        <v>39</v>
      </c>
      <c r="C324" s="368">
        <v>0</v>
      </c>
      <c r="D324" s="372">
        <v>0</v>
      </c>
      <c r="E324" s="297"/>
      <c r="F324" s="29"/>
      <c r="G324" s="3"/>
      <c r="H324" s="19"/>
      <c r="L324" s="22"/>
      <c r="N324" s="22"/>
      <c r="O324" s="22"/>
      <c r="P324" s="22"/>
    </row>
    <row r="325" spans="1:17" hidden="1" x14ac:dyDescent="0.25">
      <c r="A325" s="15"/>
      <c r="B325" s="420" t="s">
        <v>40</v>
      </c>
      <c r="C325" s="368">
        <v>0</v>
      </c>
      <c r="D325" s="372">
        <v>0</v>
      </c>
      <c r="E325" s="297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420" t="s">
        <v>60</v>
      </c>
      <c r="C326" s="368">
        <v>0</v>
      </c>
      <c r="D326" s="372">
        <v>0</v>
      </c>
      <c r="E326" s="297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404"/>
      <c r="D327" s="372"/>
      <c r="E327" s="297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29" t="s">
        <v>6</v>
      </c>
      <c r="C328" s="422">
        <f>SUM(C315:C327)</f>
        <v>19</v>
      </c>
      <c r="D328" s="434">
        <f>SUM(D315:D327)</f>
        <v>171147000</v>
      </c>
      <c r="F328" s="12"/>
      <c r="G328" s="3"/>
      <c r="H328" s="19"/>
      <c r="I328" s="18"/>
      <c r="L328" s="22"/>
      <c r="N328" s="22"/>
      <c r="O328" s="22"/>
      <c r="P328" s="22"/>
    </row>
    <row r="329" spans="1:17" ht="15" customHeight="1" x14ac:dyDescent="0.25">
      <c r="A329" s="15"/>
      <c r="B329" s="551" t="s">
        <v>279</v>
      </c>
      <c r="C329" s="386"/>
      <c r="D329" s="555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670" t="s">
        <v>94</v>
      </c>
      <c r="C330" s="670"/>
      <c r="D330" s="670"/>
      <c r="E330" s="670"/>
      <c r="J330" s="18"/>
      <c r="N330" s="22"/>
      <c r="O330" s="22"/>
      <c r="P330" s="22"/>
    </row>
    <row r="331" spans="1:17" ht="15" customHeight="1" x14ac:dyDescent="0.25">
      <c r="A331" s="15"/>
      <c r="B331" s="670"/>
      <c r="C331" s="670"/>
      <c r="D331" s="670"/>
      <c r="E331" s="670"/>
      <c r="J331" s="18"/>
      <c r="N331" s="22"/>
      <c r="O331" s="22"/>
      <c r="P331" s="22"/>
    </row>
    <row r="332" spans="1:17" ht="15.75" customHeight="1" x14ac:dyDescent="0.25">
      <c r="B332" s="670"/>
      <c r="C332" s="670"/>
      <c r="D332" s="670"/>
      <c r="E332" s="670"/>
      <c r="F332" s="26"/>
      <c r="G332" s="26"/>
      <c r="H332" s="26"/>
      <c r="I332" s="25"/>
      <c r="J332" s="83"/>
      <c r="K332" s="3"/>
      <c r="N332" s="22"/>
      <c r="O332" s="22"/>
      <c r="P332" s="22"/>
    </row>
    <row r="333" spans="1:17" ht="15.75" customHeight="1" x14ac:dyDescent="0.25">
      <c r="B333" s="439"/>
      <c r="C333" s="439"/>
      <c r="D333" s="439"/>
      <c r="E333" s="439"/>
      <c r="F333" s="26"/>
      <c r="G333" s="26"/>
      <c r="H333" s="26"/>
      <c r="I333" s="25"/>
      <c r="J333" s="83"/>
      <c r="K333" s="3"/>
      <c r="P333" s="25"/>
      <c r="Q333" s="23"/>
    </row>
    <row r="334" spans="1:17" ht="15.75" customHeight="1" x14ac:dyDescent="0.25">
      <c r="B334" s="439"/>
      <c r="C334" s="439"/>
      <c r="D334" s="439"/>
      <c r="E334" s="580"/>
      <c r="F334" s="26"/>
      <c r="G334" s="26"/>
      <c r="H334" s="26"/>
      <c r="I334" s="25"/>
      <c r="J334" s="83"/>
      <c r="K334" s="3"/>
      <c r="P334" s="25"/>
      <c r="Q334" s="23"/>
    </row>
    <row r="335" spans="1:17" ht="15.75" customHeight="1" x14ac:dyDescent="0.25">
      <c r="B335" s="439"/>
      <c r="C335" s="439"/>
      <c r="D335" s="439"/>
      <c r="E335" s="439"/>
      <c r="F335" s="26"/>
      <c r="G335" s="26"/>
      <c r="H335" s="26"/>
      <c r="I335" s="25"/>
      <c r="J335" s="83"/>
      <c r="K335" s="3"/>
      <c r="P335" s="25"/>
      <c r="Q335" s="23"/>
    </row>
    <row r="336" spans="1:17" ht="15.75" customHeight="1" x14ac:dyDescent="0.25">
      <c r="B336" s="439"/>
      <c r="C336" s="439"/>
      <c r="D336" s="439"/>
      <c r="E336" s="439"/>
      <c r="F336" s="26"/>
      <c r="G336" s="26"/>
      <c r="H336" s="26"/>
      <c r="I336" s="25"/>
      <c r="J336" s="83"/>
      <c r="K336" s="3"/>
      <c r="P336" s="25"/>
      <c r="Q336" s="23"/>
    </row>
    <row r="337" spans="1:25" ht="26.25" customHeight="1" x14ac:dyDescent="0.25">
      <c r="A337" s="26"/>
      <c r="B337" s="660" t="s">
        <v>183</v>
      </c>
      <c r="C337" s="660"/>
      <c r="D337" s="660"/>
      <c r="E337" s="660"/>
      <c r="F337" s="25"/>
      <c r="G337" s="83"/>
      <c r="M337" s="294"/>
      <c r="Q337" s="23"/>
      <c r="R337" s="23"/>
      <c r="S337" s="23"/>
      <c r="T337" s="23"/>
      <c r="U337" s="23"/>
      <c r="V337" s="23"/>
      <c r="W337" s="182"/>
    </row>
    <row r="338" spans="1:25" ht="15.75" customHeight="1" x14ac:dyDescent="0.25">
      <c r="A338" s="26"/>
      <c r="B338" s="385"/>
      <c r="C338" s="386"/>
      <c r="D338" s="386"/>
      <c r="M338" s="294"/>
      <c r="Q338" s="699"/>
      <c r="R338" s="91"/>
      <c r="S338" s="91"/>
      <c r="T338" s="91"/>
      <c r="U338" s="91"/>
      <c r="V338" s="91"/>
      <c r="W338" s="182"/>
      <c r="X338" s="700"/>
      <c r="Y338" s="700"/>
    </row>
    <row r="339" spans="1:25" ht="15.75" customHeight="1" x14ac:dyDescent="0.25">
      <c r="A339" s="15"/>
      <c r="C339" s="643" t="s">
        <v>497</v>
      </c>
      <c r="D339" s="706"/>
      <c r="E339" s="706"/>
      <c r="F339" s="706"/>
      <c r="G339" s="706"/>
      <c r="H339" s="644"/>
      <c r="J339" s="2"/>
      <c r="K339" s="707" t="s">
        <v>500</v>
      </c>
      <c r="L339" s="708"/>
      <c r="M339" s="708"/>
      <c r="N339" s="709"/>
      <c r="O339" s="95"/>
      <c r="Q339" s="699"/>
      <c r="R339" s="91"/>
      <c r="S339" s="91"/>
      <c r="T339" s="91"/>
      <c r="U339" s="91"/>
      <c r="V339" s="91"/>
      <c r="W339" s="234"/>
      <c r="X339" s="235"/>
      <c r="Y339" s="235"/>
    </row>
    <row r="340" spans="1:25" s="29" customFormat="1" ht="24.5" customHeight="1" x14ac:dyDescent="0.25">
      <c r="A340" s="41"/>
      <c r="B340" s="297"/>
      <c r="C340" s="695" t="s">
        <v>498</v>
      </c>
      <c r="D340" s="696"/>
      <c r="E340" s="696"/>
      <c r="F340" s="704" t="s">
        <v>499</v>
      </c>
      <c r="G340" s="697"/>
      <c r="H340" s="698"/>
      <c r="I340" s="19"/>
      <c r="J340" s="297"/>
      <c r="K340" s="704" t="s">
        <v>501</v>
      </c>
      <c r="L340" s="698"/>
      <c r="M340" s="704" t="s">
        <v>502</v>
      </c>
      <c r="N340" s="698"/>
      <c r="O340" s="95"/>
      <c r="Q340" s="91"/>
      <c r="R340" s="91"/>
      <c r="S340" s="91"/>
      <c r="T340" s="91"/>
      <c r="U340" s="91"/>
      <c r="V340" s="91"/>
      <c r="W340" s="236"/>
      <c r="X340" s="237"/>
      <c r="Y340" s="237"/>
    </row>
    <row r="341" spans="1:25" x14ac:dyDescent="0.25">
      <c r="A341" s="15"/>
      <c r="B341" s="367" t="s">
        <v>42</v>
      </c>
      <c r="C341" s="367" t="s">
        <v>244</v>
      </c>
      <c r="D341" s="367" t="s">
        <v>43</v>
      </c>
      <c r="E341" s="479" t="s">
        <v>243</v>
      </c>
      <c r="F341" s="35" t="s">
        <v>30</v>
      </c>
      <c r="G341" s="35" t="s">
        <v>43</v>
      </c>
      <c r="H341" s="150" t="s">
        <v>243</v>
      </c>
      <c r="J341" s="367" t="s">
        <v>42</v>
      </c>
      <c r="K341" s="367" t="s">
        <v>168</v>
      </c>
      <c r="L341" s="367" t="s">
        <v>43</v>
      </c>
      <c r="M341" s="367" t="s">
        <v>30</v>
      </c>
      <c r="N341" s="560" t="s">
        <v>43</v>
      </c>
      <c r="O341" s="95"/>
      <c r="P341" s="92"/>
      <c r="Q341" s="92"/>
      <c r="R341" s="92"/>
      <c r="S341" s="92"/>
      <c r="T341" s="92"/>
      <c r="U341" s="92"/>
      <c r="V341" s="238"/>
      <c r="W341" s="239"/>
      <c r="X341" s="240"/>
    </row>
    <row r="342" spans="1:25" s="36" customFormat="1" x14ac:dyDescent="0.25">
      <c r="A342" s="34"/>
      <c r="B342" s="506" t="s">
        <v>44</v>
      </c>
      <c r="C342" s="507">
        <v>110</v>
      </c>
      <c r="D342" s="617">
        <f>1290203074.4/1000000</f>
        <v>1290.2030744000001</v>
      </c>
      <c r="E342" s="508">
        <f>C342/$C$367</f>
        <v>0.1858108108108108</v>
      </c>
      <c r="F342" s="507">
        <v>389</v>
      </c>
      <c r="G342" s="617">
        <f>3775111864.32/1000000</f>
        <v>3775.1118643200002</v>
      </c>
      <c r="H342" s="508">
        <f t="shared" ref="H342:H366" si="11">F342/$F$367</f>
        <v>0.23518742442563481</v>
      </c>
      <c r="J342" s="506" t="s">
        <v>44</v>
      </c>
      <c r="K342" s="507">
        <v>277</v>
      </c>
      <c r="L342" s="617">
        <f>2763007082.56/1000000</f>
        <v>2763.0070825600001</v>
      </c>
      <c r="M342" s="507">
        <v>435</v>
      </c>
      <c r="N342" s="629">
        <f>4124250395.85/1000000</f>
        <v>4124.2503958500001</v>
      </c>
      <c r="P342" s="93"/>
      <c r="Q342" s="93"/>
      <c r="R342" s="93"/>
      <c r="S342" s="93"/>
      <c r="T342" s="93"/>
      <c r="U342" s="93"/>
      <c r="V342" s="241"/>
      <c r="W342" s="242"/>
      <c r="X342" s="243"/>
      <c r="Y342" s="148"/>
    </row>
    <row r="343" spans="1:25" s="36" customFormat="1" x14ac:dyDescent="0.25">
      <c r="A343" s="34"/>
      <c r="B343" s="506" t="s">
        <v>45</v>
      </c>
      <c r="C343" s="507">
        <v>215</v>
      </c>
      <c r="D343" s="617">
        <f>3116349955.97/1000000</f>
        <v>3116.3499559699999</v>
      </c>
      <c r="E343" s="508">
        <f t="shared" ref="E343:E366" si="12">C343/$C$367</f>
        <v>0.36317567567567566</v>
      </c>
      <c r="F343" s="507">
        <v>460</v>
      </c>
      <c r="G343" s="617">
        <f>5329669092.36/1000000</f>
        <v>5329.6690923599999</v>
      </c>
      <c r="H343" s="508">
        <f t="shared" si="11"/>
        <v>0.27811366384522368</v>
      </c>
      <c r="J343" s="506" t="s">
        <v>45</v>
      </c>
      <c r="K343" s="507">
        <v>73</v>
      </c>
      <c r="L343" s="617">
        <f>1524192427.2/1000000</f>
        <v>1524.1924272000001</v>
      </c>
      <c r="M343" s="507">
        <v>579</v>
      </c>
      <c r="N343" s="629">
        <f>8186324648.71/1000000</f>
        <v>8186.3246487100005</v>
      </c>
      <c r="P343" s="93"/>
      <c r="Q343" s="93"/>
      <c r="R343" s="93"/>
      <c r="S343" s="93"/>
      <c r="T343" s="93"/>
      <c r="U343" s="93"/>
      <c r="V343" s="241"/>
      <c r="W343" s="242"/>
      <c r="X343" s="243"/>
      <c r="Y343" s="148"/>
    </row>
    <row r="344" spans="1:25" s="36" customFormat="1" x14ac:dyDescent="0.25">
      <c r="A344" s="34"/>
      <c r="B344" s="506" t="s">
        <v>46</v>
      </c>
      <c r="C344" s="507">
        <v>4</v>
      </c>
      <c r="D344" s="617">
        <f>114368364.43/1000000</f>
        <v>114.36836443000001</v>
      </c>
      <c r="E344" s="508">
        <f t="shared" si="12"/>
        <v>6.7567567567567571E-3</v>
      </c>
      <c r="F344" s="507">
        <v>2</v>
      </c>
      <c r="G344" s="617">
        <f>33029750.56/1000000</f>
        <v>33.029750559999997</v>
      </c>
      <c r="H344" s="508">
        <f t="shared" si="11"/>
        <v>1.2091898428053204E-3</v>
      </c>
      <c r="J344" s="506" t="s">
        <v>46</v>
      </c>
      <c r="K344" s="507">
        <v>13</v>
      </c>
      <c r="L344" s="617">
        <f>227774887.83/1000000</f>
        <v>227.77488783000001</v>
      </c>
      <c r="M344" s="507">
        <v>3</v>
      </c>
      <c r="N344" s="629">
        <f>37925419.49/1000000</f>
        <v>37.925419490000003</v>
      </c>
      <c r="O344" s="93"/>
      <c r="P344" s="93"/>
      <c r="Q344" s="93"/>
      <c r="R344" s="93"/>
      <c r="S344" s="93"/>
      <c r="T344" s="93"/>
      <c r="U344" s="93"/>
      <c r="V344" s="241"/>
      <c r="W344" s="242"/>
      <c r="X344" s="243"/>
      <c r="Y344" s="148"/>
    </row>
    <row r="345" spans="1:25" s="36" customFormat="1" x14ac:dyDescent="0.25">
      <c r="A345" s="34"/>
      <c r="B345" s="506" t="s">
        <v>47</v>
      </c>
      <c r="C345" s="507">
        <v>14</v>
      </c>
      <c r="D345" s="617">
        <f>165778676.12/1000000</f>
        <v>165.77867612</v>
      </c>
      <c r="E345" s="508">
        <f t="shared" si="12"/>
        <v>2.364864864864865E-2</v>
      </c>
      <c r="F345" s="507">
        <v>50</v>
      </c>
      <c r="G345" s="617">
        <f>495992436.49/1000000</f>
        <v>495.99243648999999</v>
      </c>
      <c r="H345" s="508">
        <f t="shared" si="11"/>
        <v>3.0229746070133012E-2</v>
      </c>
      <c r="J345" s="506" t="s">
        <v>47</v>
      </c>
      <c r="K345" s="507">
        <v>2</v>
      </c>
      <c r="L345" s="617">
        <f>38796166.32/1000000</f>
        <v>38.796166319999998</v>
      </c>
      <c r="M345" s="507">
        <v>18</v>
      </c>
      <c r="N345" s="629">
        <f>136997000/1000000</f>
        <v>136.99700000000001</v>
      </c>
      <c r="O345" s="95"/>
      <c r="P345" s="95"/>
      <c r="Q345" s="95"/>
      <c r="R345" s="95"/>
      <c r="S345" s="95"/>
      <c r="T345" s="95"/>
      <c r="U345" s="95"/>
      <c r="V345" s="241"/>
      <c r="W345" s="242"/>
      <c r="X345" s="243"/>
      <c r="Y345" s="148"/>
    </row>
    <row r="346" spans="1:25" s="36" customFormat="1" x14ac:dyDescent="0.25">
      <c r="A346" s="34"/>
      <c r="B346" s="506" t="s">
        <v>48</v>
      </c>
      <c r="C346" s="507">
        <v>9</v>
      </c>
      <c r="D346" s="617">
        <f>74362000/1000000</f>
        <v>74.361999999999995</v>
      </c>
      <c r="E346" s="508">
        <f t="shared" si="12"/>
        <v>1.5202702702702704E-2</v>
      </c>
      <c r="F346" s="507">
        <v>5</v>
      </c>
      <c r="G346" s="617">
        <f>38035000/1000000</f>
        <v>38.034999999999997</v>
      </c>
      <c r="H346" s="508">
        <f t="shared" si="11"/>
        <v>3.0229746070133011E-3</v>
      </c>
      <c r="J346" s="506" t="s">
        <v>48</v>
      </c>
      <c r="K346" s="507">
        <v>1</v>
      </c>
      <c r="L346" s="617">
        <f>8408000/1000000</f>
        <v>8.4079999999999995</v>
      </c>
      <c r="M346" s="507">
        <v>6</v>
      </c>
      <c r="N346" s="629">
        <f>50136000/1000000</f>
        <v>50.136000000000003</v>
      </c>
      <c r="O346" s="95"/>
      <c r="P346" s="95"/>
      <c r="Q346" s="95"/>
      <c r="R346" s="95"/>
      <c r="S346" s="95"/>
      <c r="T346" s="95"/>
      <c r="U346" s="95"/>
      <c r="V346" s="241"/>
      <c r="W346" s="242"/>
      <c r="X346" s="243"/>
      <c r="Y346" s="148"/>
    </row>
    <row r="347" spans="1:25" s="36" customFormat="1" x14ac:dyDescent="0.25">
      <c r="A347" s="34"/>
      <c r="B347" s="506" t="s">
        <v>49</v>
      </c>
      <c r="C347" s="507">
        <v>26</v>
      </c>
      <c r="D347" s="617">
        <f>209536000/1000000</f>
        <v>209.536</v>
      </c>
      <c r="E347" s="508">
        <f t="shared" si="12"/>
        <v>4.3918918918918921E-2</v>
      </c>
      <c r="F347" s="507">
        <v>64</v>
      </c>
      <c r="G347" s="617">
        <f>590292650.55/1000000</f>
        <v>590.29265054999996</v>
      </c>
      <c r="H347" s="508">
        <f t="shared" si="11"/>
        <v>3.8694074969770252E-2</v>
      </c>
      <c r="J347" s="506" t="s">
        <v>49</v>
      </c>
      <c r="K347" s="507">
        <v>30</v>
      </c>
      <c r="L347" s="617">
        <f>240641000/1000000</f>
        <v>240.64099999999999</v>
      </c>
      <c r="M347" s="507">
        <v>48</v>
      </c>
      <c r="N347" s="629">
        <f>430395039/1000000</f>
        <v>430.395039</v>
      </c>
      <c r="O347" s="93"/>
      <c r="P347" s="93"/>
      <c r="Q347" s="93"/>
      <c r="R347" s="93"/>
      <c r="S347" s="93"/>
      <c r="T347" s="93"/>
      <c r="U347" s="93"/>
      <c r="V347" s="241"/>
      <c r="W347" s="242"/>
      <c r="X347" s="243"/>
      <c r="Y347" s="148"/>
    </row>
    <row r="348" spans="1:25" s="36" customFormat="1" x14ac:dyDescent="0.25">
      <c r="A348" s="34"/>
      <c r="B348" s="506" t="s">
        <v>93</v>
      </c>
      <c r="C348" s="507">
        <v>75</v>
      </c>
      <c r="D348" s="617">
        <f>887716100.34/1000000</f>
        <v>887.71610034000003</v>
      </c>
      <c r="E348" s="508">
        <f t="shared" si="12"/>
        <v>0.1266891891891892</v>
      </c>
      <c r="F348" s="507">
        <v>151</v>
      </c>
      <c r="G348" s="617">
        <f>1579121189.62/1000000</f>
        <v>1579.12118962</v>
      </c>
      <c r="H348" s="508">
        <f t="shared" si="11"/>
        <v>9.1293833131801699E-2</v>
      </c>
      <c r="J348" s="506" t="s">
        <v>93</v>
      </c>
      <c r="K348" s="507">
        <v>19</v>
      </c>
      <c r="L348" s="617">
        <f>341918467.81/1000000</f>
        <v>341.91846780999998</v>
      </c>
      <c r="M348" s="507">
        <v>82</v>
      </c>
      <c r="N348" s="629">
        <f>693313000/1000000</f>
        <v>693.31299999999999</v>
      </c>
      <c r="O348" s="93"/>
      <c r="P348" s="93"/>
      <c r="Q348" s="93"/>
      <c r="R348" s="93"/>
      <c r="S348" s="93"/>
      <c r="T348" s="93"/>
      <c r="U348" s="93"/>
      <c r="V348" s="241"/>
      <c r="W348" s="242"/>
      <c r="X348" s="243"/>
      <c r="Y348" s="148"/>
    </row>
    <row r="349" spans="1:25" s="36" customFormat="1" x14ac:dyDescent="0.25">
      <c r="A349" s="34"/>
      <c r="B349" s="506" t="s">
        <v>184</v>
      </c>
      <c r="C349" s="507">
        <v>21</v>
      </c>
      <c r="D349" s="617">
        <f>282221052.69/1000000</f>
        <v>282.22105269000002</v>
      </c>
      <c r="E349" s="508">
        <f t="shared" si="12"/>
        <v>3.5472972972972971E-2</v>
      </c>
      <c r="F349" s="507">
        <v>141</v>
      </c>
      <c r="G349" s="617">
        <f>2317989796.16/1000000</f>
        <v>2317.98979616</v>
      </c>
      <c r="H349" s="508">
        <f t="shared" si="11"/>
        <v>8.5247883917775089E-2</v>
      </c>
      <c r="J349" s="506" t="s">
        <v>203</v>
      </c>
      <c r="K349" s="507">
        <v>4</v>
      </c>
      <c r="L349" s="617">
        <f>92424202.63/1000000</f>
        <v>92.424202629999996</v>
      </c>
      <c r="M349" s="507">
        <v>116</v>
      </c>
      <c r="N349" s="629">
        <f>1215987802.58/1000000</f>
        <v>1215.9878025799999</v>
      </c>
      <c r="O349" s="93"/>
      <c r="P349" s="93"/>
      <c r="Q349" s="93"/>
      <c r="R349" s="93"/>
      <c r="S349" s="93"/>
      <c r="T349" s="93"/>
      <c r="U349" s="93"/>
      <c r="V349" s="241"/>
      <c r="W349" s="242"/>
      <c r="X349" s="243"/>
      <c r="Y349" s="148"/>
    </row>
    <row r="350" spans="1:25" s="36" customFormat="1" x14ac:dyDescent="0.25">
      <c r="A350" s="34"/>
      <c r="B350" s="506" t="s">
        <v>50</v>
      </c>
      <c r="C350" s="507">
        <v>3</v>
      </c>
      <c r="D350" s="617">
        <f>39702111.6/1000000</f>
        <v>39.702111600000002</v>
      </c>
      <c r="E350" s="508">
        <f t="shared" si="12"/>
        <v>5.0675675675675678E-3</v>
      </c>
      <c r="F350" s="507">
        <v>118</v>
      </c>
      <c r="G350" s="617">
        <f>1211860823.61/1000000</f>
        <v>1211.8608236099999</v>
      </c>
      <c r="H350" s="508">
        <f t="shared" si="11"/>
        <v>7.1342200725513907E-2</v>
      </c>
      <c r="J350" s="506" t="s">
        <v>50</v>
      </c>
      <c r="K350" s="507">
        <v>36</v>
      </c>
      <c r="L350" s="617">
        <f>509231633.88/1000000</f>
        <v>509.23163388</v>
      </c>
      <c r="M350" s="507">
        <v>112</v>
      </c>
      <c r="N350" s="629">
        <f>1548595732.79/1000000</f>
        <v>1548.5957327900001</v>
      </c>
      <c r="O350" s="93"/>
      <c r="P350" s="93"/>
      <c r="Q350" s="93"/>
      <c r="R350" s="93"/>
      <c r="S350" s="93"/>
      <c r="T350" s="93"/>
      <c r="U350" s="93"/>
      <c r="V350" s="241"/>
      <c r="W350" s="242"/>
      <c r="X350" s="243"/>
      <c r="Y350" s="148"/>
    </row>
    <row r="351" spans="1:25" s="36" customFormat="1" x14ac:dyDescent="0.25">
      <c r="A351" s="34"/>
      <c r="B351" s="506" t="s">
        <v>185</v>
      </c>
      <c r="C351" s="507">
        <v>33</v>
      </c>
      <c r="D351" s="617">
        <f>478483734.36/1000000</f>
        <v>478.48373436000003</v>
      </c>
      <c r="E351" s="508">
        <f t="shared" si="12"/>
        <v>5.5743243243243243E-2</v>
      </c>
      <c r="F351" s="507">
        <v>53</v>
      </c>
      <c r="G351" s="617">
        <f>601485906.28/1000000</f>
        <v>601.48590627999999</v>
      </c>
      <c r="H351" s="508">
        <f t="shared" si="11"/>
        <v>3.2043530834340993E-2</v>
      </c>
      <c r="J351" s="506" t="s">
        <v>133</v>
      </c>
      <c r="K351" s="507">
        <v>8</v>
      </c>
      <c r="L351" s="617">
        <f>71918000/1000000</f>
        <v>71.918000000000006</v>
      </c>
      <c r="M351" s="507">
        <v>51</v>
      </c>
      <c r="N351" s="629">
        <f>525386659.37/1000000</f>
        <v>525.38665936999996</v>
      </c>
      <c r="O351" s="93"/>
      <c r="P351" s="93"/>
      <c r="Q351" s="93"/>
      <c r="R351" s="93"/>
      <c r="S351" s="93"/>
      <c r="T351" s="93"/>
      <c r="U351" s="93"/>
      <c r="V351" s="241"/>
      <c r="W351" s="242"/>
      <c r="X351" s="243"/>
      <c r="Y351" s="148"/>
    </row>
    <row r="352" spans="1:25" s="36" customFormat="1" x14ac:dyDescent="0.25">
      <c r="A352" s="34"/>
      <c r="B352" s="506" t="s">
        <v>186</v>
      </c>
      <c r="C352" s="507">
        <v>0</v>
      </c>
      <c r="D352" s="561">
        <v>0</v>
      </c>
      <c r="E352" s="508">
        <f t="shared" si="12"/>
        <v>0</v>
      </c>
      <c r="F352" s="507">
        <v>0</v>
      </c>
      <c r="G352" s="561">
        <v>0</v>
      </c>
      <c r="H352" s="508">
        <f t="shared" si="11"/>
        <v>0</v>
      </c>
      <c r="J352" s="506" t="s">
        <v>104</v>
      </c>
      <c r="K352" s="507">
        <v>24</v>
      </c>
      <c r="L352" s="617">
        <f>218511412.71/1000000</f>
        <v>218.51141271</v>
      </c>
      <c r="M352" s="507">
        <v>3</v>
      </c>
      <c r="N352" s="629">
        <f>32469051.72/1000000</f>
        <v>32.469051719999996</v>
      </c>
      <c r="O352" s="93"/>
      <c r="P352" s="93"/>
      <c r="Q352" s="93"/>
      <c r="R352" s="93"/>
      <c r="S352" s="93"/>
      <c r="T352" s="93"/>
      <c r="U352" s="93"/>
      <c r="V352" s="241"/>
      <c r="W352" s="242"/>
      <c r="X352" s="243"/>
      <c r="Y352" s="148"/>
    </row>
    <row r="353" spans="1:17" s="36" customFormat="1" x14ac:dyDescent="0.25">
      <c r="A353" s="34"/>
      <c r="B353" s="506" t="s">
        <v>61</v>
      </c>
      <c r="C353" s="507">
        <v>0</v>
      </c>
      <c r="D353" s="561">
        <v>0</v>
      </c>
      <c r="E353" s="508">
        <f t="shared" si="12"/>
        <v>0</v>
      </c>
      <c r="F353" s="507">
        <v>4</v>
      </c>
      <c r="G353" s="617">
        <f>41803000/1000000</f>
        <v>41.802999999999997</v>
      </c>
      <c r="H353" s="508">
        <f t="shared" si="11"/>
        <v>2.4183796856106408E-3</v>
      </c>
      <c r="J353" s="506" t="s">
        <v>61</v>
      </c>
      <c r="K353" s="507">
        <v>2</v>
      </c>
      <c r="L353" s="617">
        <f>16960000/1000000</f>
        <v>16.96</v>
      </c>
      <c r="M353" s="507">
        <v>0</v>
      </c>
      <c r="N353" s="562">
        <v>0</v>
      </c>
      <c r="O353" s="93"/>
      <c r="P353" s="93"/>
      <c r="Q353" s="93"/>
    </row>
    <row r="354" spans="1:17" s="36" customFormat="1" x14ac:dyDescent="0.25">
      <c r="A354" s="34"/>
      <c r="B354" s="506" t="s">
        <v>187</v>
      </c>
      <c r="C354" s="507">
        <v>2</v>
      </c>
      <c r="D354" s="617">
        <f>18593000/1000000</f>
        <v>18.593</v>
      </c>
      <c r="E354" s="508">
        <f t="shared" si="12"/>
        <v>3.3783783783783786E-3</v>
      </c>
      <c r="F354" s="507">
        <v>10</v>
      </c>
      <c r="G354" s="617">
        <f>91936000/1000000</f>
        <v>91.936000000000007</v>
      </c>
      <c r="H354" s="508">
        <f t="shared" si="11"/>
        <v>6.0459492140266021E-3</v>
      </c>
      <c r="J354" s="506" t="s">
        <v>204</v>
      </c>
      <c r="K354" s="507">
        <v>3</v>
      </c>
      <c r="L354" s="617">
        <f>25308000/1000000</f>
        <v>25.308</v>
      </c>
      <c r="M354" s="507">
        <v>16</v>
      </c>
      <c r="N354" s="629">
        <f>135452000/1000000</f>
        <v>135.452</v>
      </c>
      <c r="O354" s="93"/>
      <c r="P354" s="358"/>
      <c r="Q354" s="93"/>
    </row>
    <row r="355" spans="1:17" s="36" customFormat="1" x14ac:dyDescent="0.25">
      <c r="A355" s="34"/>
      <c r="B355" s="506" t="s">
        <v>188</v>
      </c>
      <c r="C355" s="507">
        <v>3</v>
      </c>
      <c r="D355" s="617">
        <f>35713586.39/1000000</f>
        <v>35.713586390000003</v>
      </c>
      <c r="E355" s="508">
        <f t="shared" si="12"/>
        <v>5.0675675675675678E-3</v>
      </c>
      <c r="F355" s="507">
        <v>46</v>
      </c>
      <c r="G355" s="617">
        <f>456330096.43/1000000</f>
        <v>456.33009643000003</v>
      </c>
      <c r="H355" s="508">
        <f t="shared" si="11"/>
        <v>2.7811366384522369E-2</v>
      </c>
      <c r="J355" s="506" t="s">
        <v>205</v>
      </c>
      <c r="K355" s="507">
        <v>2</v>
      </c>
      <c r="L355" s="617">
        <f>17780000/1000000</f>
        <v>17.78</v>
      </c>
      <c r="M355" s="507">
        <v>34</v>
      </c>
      <c r="N355" s="629">
        <f>302319928.1/1000000</f>
        <v>302.31992810000003</v>
      </c>
      <c r="O355" s="93"/>
      <c r="P355" s="358"/>
      <c r="Q355" s="93"/>
    </row>
    <row r="356" spans="1:17" s="36" customFormat="1" x14ac:dyDescent="0.25">
      <c r="A356" s="34"/>
      <c r="B356" s="506" t="s">
        <v>102</v>
      </c>
      <c r="C356" s="507">
        <v>9</v>
      </c>
      <c r="D356" s="617">
        <f>153049921.74/1000000</f>
        <v>153.04992174</v>
      </c>
      <c r="E356" s="508">
        <f t="shared" si="12"/>
        <v>1.5202702702702704E-2</v>
      </c>
      <c r="F356" s="507">
        <v>14</v>
      </c>
      <c r="G356" s="617">
        <f>141011909.12/1000000</f>
        <v>141.01190912000001</v>
      </c>
      <c r="H356" s="508">
        <f t="shared" si="11"/>
        <v>8.4643288996372433E-3</v>
      </c>
      <c r="J356" s="506" t="s">
        <v>102</v>
      </c>
      <c r="K356" s="507">
        <v>0</v>
      </c>
      <c r="L356" s="561">
        <v>0</v>
      </c>
      <c r="M356" s="507">
        <v>39</v>
      </c>
      <c r="N356" s="629">
        <f>326373000/1000000</f>
        <v>326.37299999999999</v>
      </c>
      <c r="O356" s="93"/>
      <c r="P356" s="93"/>
      <c r="Q356" s="93"/>
    </row>
    <row r="357" spans="1:17" s="36" customFormat="1" x14ac:dyDescent="0.25">
      <c r="A357" s="34"/>
      <c r="B357" s="506" t="s">
        <v>216</v>
      </c>
      <c r="C357" s="507">
        <v>6</v>
      </c>
      <c r="D357" s="617">
        <f>101341805.99/1000000</f>
        <v>101.34180599</v>
      </c>
      <c r="E357" s="508">
        <f t="shared" si="12"/>
        <v>1.0135135135135136E-2</v>
      </c>
      <c r="F357" s="507">
        <v>48</v>
      </c>
      <c r="G357" s="617">
        <f>519265814.37/1000000</f>
        <v>519.26581437000004</v>
      </c>
      <c r="H357" s="508">
        <f t="shared" si="11"/>
        <v>2.9020556227327691E-2</v>
      </c>
      <c r="J357" s="506" t="s">
        <v>216</v>
      </c>
      <c r="K357" s="507">
        <v>6</v>
      </c>
      <c r="L357" s="629">
        <f>112877542.32/1000000</f>
        <v>112.87754231999999</v>
      </c>
      <c r="M357" s="507">
        <v>44</v>
      </c>
      <c r="N357" s="629">
        <f>402687304.82/1000000</f>
        <v>402.68730482000001</v>
      </c>
      <c r="O357" s="93"/>
      <c r="P357" s="93"/>
      <c r="Q357" s="93"/>
    </row>
    <row r="358" spans="1:17" s="36" customFormat="1" x14ac:dyDescent="0.25">
      <c r="A358" s="34"/>
      <c r="B358" s="506" t="s">
        <v>189</v>
      </c>
      <c r="C358" s="507">
        <v>0</v>
      </c>
      <c r="D358" s="561">
        <v>0</v>
      </c>
      <c r="E358" s="508">
        <f t="shared" si="12"/>
        <v>0</v>
      </c>
      <c r="F358" s="507">
        <v>1</v>
      </c>
      <c r="G358" s="617">
        <f>9300000/1000000</f>
        <v>9.3000000000000007</v>
      </c>
      <c r="H358" s="508">
        <f t="shared" si="11"/>
        <v>6.0459492140266019E-4</v>
      </c>
      <c r="J358" s="506" t="s">
        <v>206</v>
      </c>
      <c r="K358" s="507">
        <v>0</v>
      </c>
      <c r="L358" s="561">
        <v>0</v>
      </c>
      <c r="M358" s="507">
        <v>3</v>
      </c>
      <c r="N358" s="629">
        <f>25440000/1000000</f>
        <v>25.44</v>
      </c>
      <c r="P358" s="75"/>
      <c r="Q358" s="75"/>
    </row>
    <row r="359" spans="1:17" s="36" customFormat="1" x14ac:dyDescent="0.25">
      <c r="A359" s="34"/>
      <c r="B359" s="570" t="s">
        <v>287</v>
      </c>
      <c r="C359" s="571">
        <v>0</v>
      </c>
      <c r="D359" s="561">
        <v>0</v>
      </c>
      <c r="E359" s="508">
        <f t="shared" si="12"/>
        <v>0</v>
      </c>
      <c r="F359" s="571">
        <v>2</v>
      </c>
      <c r="G359" s="617">
        <f>17780000/1000000</f>
        <v>17.78</v>
      </c>
      <c r="H359" s="508">
        <f t="shared" si="11"/>
        <v>1.2091898428053204E-3</v>
      </c>
      <c r="J359" s="570" t="s">
        <v>287</v>
      </c>
      <c r="K359" s="571">
        <v>0</v>
      </c>
      <c r="L359" s="572">
        <v>0</v>
      </c>
      <c r="M359" s="571">
        <v>4</v>
      </c>
      <c r="N359" s="630">
        <f>33884000/1000000</f>
        <v>33.884</v>
      </c>
      <c r="P359" s="75"/>
      <c r="Q359" s="75"/>
    </row>
    <row r="360" spans="1:17" s="36" customFormat="1" x14ac:dyDescent="0.25">
      <c r="A360" s="34"/>
      <c r="B360" s="506" t="s">
        <v>98</v>
      </c>
      <c r="C360" s="507">
        <v>0</v>
      </c>
      <c r="D360" s="561">
        <v>0</v>
      </c>
      <c r="E360" s="508">
        <f t="shared" si="12"/>
        <v>0</v>
      </c>
      <c r="F360" s="507">
        <v>0</v>
      </c>
      <c r="G360" s="561">
        <v>0</v>
      </c>
      <c r="H360" s="508">
        <f t="shared" si="11"/>
        <v>0</v>
      </c>
      <c r="J360" s="506" t="s">
        <v>98</v>
      </c>
      <c r="K360" s="507">
        <v>2</v>
      </c>
      <c r="L360" s="617">
        <f>36023991.36/1000000</f>
        <v>36.023991359999997</v>
      </c>
      <c r="M360" s="507">
        <v>1</v>
      </c>
      <c r="N360" s="629">
        <f>8450000/1000000</f>
        <v>8.4499999999999993</v>
      </c>
      <c r="P360" s="75"/>
      <c r="Q360" s="75"/>
    </row>
    <row r="361" spans="1:17" s="36" customFormat="1" x14ac:dyDescent="0.25">
      <c r="A361" s="34"/>
      <c r="B361" s="506" t="s">
        <v>164</v>
      </c>
      <c r="C361" s="507">
        <v>0</v>
      </c>
      <c r="D361" s="561">
        <v>0</v>
      </c>
      <c r="E361" s="508">
        <f t="shared" si="12"/>
        <v>0</v>
      </c>
      <c r="F361" s="507">
        <v>0</v>
      </c>
      <c r="G361" s="561">
        <v>0</v>
      </c>
      <c r="H361" s="508">
        <f t="shared" si="11"/>
        <v>0</v>
      </c>
      <c r="J361" s="506" t="s">
        <v>207</v>
      </c>
      <c r="K361" s="507">
        <v>0</v>
      </c>
      <c r="L361" s="562">
        <v>0</v>
      </c>
      <c r="M361" s="507">
        <v>1</v>
      </c>
      <c r="N361" s="629">
        <f>5605000/1000000</f>
        <v>5.6050000000000004</v>
      </c>
      <c r="P361" s="75"/>
      <c r="Q361" s="75"/>
    </row>
    <row r="362" spans="1:17" s="36" customFormat="1" x14ac:dyDescent="0.25">
      <c r="A362" s="34"/>
      <c r="B362" s="506" t="s">
        <v>179</v>
      </c>
      <c r="C362" s="507">
        <v>0</v>
      </c>
      <c r="D362" s="561">
        <v>0</v>
      </c>
      <c r="E362" s="508">
        <f t="shared" si="12"/>
        <v>0</v>
      </c>
      <c r="F362" s="507">
        <v>0</v>
      </c>
      <c r="G362" s="561">
        <v>0</v>
      </c>
      <c r="H362" s="508">
        <f t="shared" si="11"/>
        <v>0</v>
      </c>
      <c r="J362" s="506" t="s">
        <v>179</v>
      </c>
      <c r="K362" s="507">
        <v>0</v>
      </c>
      <c r="L362" s="561">
        <v>0</v>
      </c>
      <c r="M362" s="507">
        <v>0</v>
      </c>
      <c r="N362" s="562">
        <v>0</v>
      </c>
      <c r="P362" s="94"/>
      <c r="Q362" s="94"/>
    </row>
    <row r="363" spans="1:17" s="36" customFormat="1" x14ac:dyDescent="0.25">
      <c r="A363" s="34"/>
      <c r="B363" s="506" t="s">
        <v>202</v>
      </c>
      <c r="C363" s="507">
        <v>0</v>
      </c>
      <c r="D363" s="561">
        <v>0</v>
      </c>
      <c r="E363" s="508">
        <f t="shared" si="12"/>
        <v>0</v>
      </c>
      <c r="F363" s="507">
        <v>0</v>
      </c>
      <c r="G363" s="561">
        <v>0</v>
      </c>
      <c r="H363" s="508">
        <f t="shared" si="11"/>
        <v>0</v>
      </c>
      <c r="J363" s="506" t="s">
        <v>202</v>
      </c>
      <c r="K363" s="507">
        <v>0</v>
      </c>
      <c r="L363" s="561">
        <v>0</v>
      </c>
      <c r="M363" s="507">
        <v>0</v>
      </c>
      <c r="N363" s="562">
        <v>0</v>
      </c>
      <c r="P363" s="94"/>
      <c r="Q363" s="94"/>
    </row>
    <row r="364" spans="1:17" s="36" customFormat="1" x14ac:dyDescent="0.25">
      <c r="A364" s="34"/>
      <c r="B364" s="506" t="s">
        <v>200</v>
      </c>
      <c r="C364" s="507">
        <v>32</v>
      </c>
      <c r="D364" s="617">
        <f>312906901.71/1000000</f>
        <v>312.90690171</v>
      </c>
      <c r="E364" s="508">
        <f t="shared" si="12"/>
        <v>5.4054054054054057E-2</v>
      </c>
      <c r="F364" s="507">
        <v>33</v>
      </c>
      <c r="G364" s="617">
        <f>401038650.89/1000000</f>
        <v>401.03865088999999</v>
      </c>
      <c r="H364" s="508">
        <f t="shared" si="11"/>
        <v>1.9951632406287789E-2</v>
      </c>
      <c r="J364" s="506" t="s">
        <v>200</v>
      </c>
      <c r="K364" s="507">
        <v>15</v>
      </c>
      <c r="L364" s="617">
        <f>142698930.3/1000000</f>
        <v>142.6989303</v>
      </c>
      <c r="M364" s="507">
        <v>20</v>
      </c>
      <c r="N364" s="629">
        <f>187827058.9/1000000</f>
        <v>187.8270589</v>
      </c>
      <c r="P364" s="94"/>
      <c r="Q364" s="94"/>
    </row>
    <row r="365" spans="1:17" s="36" customFormat="1" x14ac:dyDescent="0.25">
      <c r="A365" s="34"/>
      <c r="B365" s="506" t="s">
        <v>180</v>
      </c>
      <c r="C365" s="507">
        <v>11</v>
      </c>
      <c r="D365" s="617">
        <f>133376520.09/1000000</f>
        <v>133.37652009000001</v>
      </c>
      <c r="E365" s="508">
        <f t="shared" si="12"/>
        <v>1.8581081081081082E-2</v>
      </c>
      <c r="F365" s="507">
        <v>29</v>
      </c>
      <c r="G365" s="617">
        <f>369075997.1/1000000</f>
        <v>369.07599710000005</v>
      </c>
      <c r="H365" s="508">
        <f t="shared" si="11"/>
        <v>1.7533252720677146E-2</v>
      </c>
      <c r="J365" s="506" t="s">
        <v>180</v>
      </c>
      <c r="K365" s="507">
        <v>0</v>
      </c>
      <c r="L365" s="562">
        <v>0</v>
      </c>
      <c r="M365" s="507">
        <v>24</v>
      </c>
      <c r="N365" s="629">
        <f>214547000/1000000</f>
        <v>214.547</v>
      </c>
      <c r="P365" s="94"/>
      <c r="Q365" s="94"/>
    </row>
    <row r="366" spans="1:17" s="36" customFormat="1" x14ac:dyDescent="0.25">
      <c r="A366" s="34"/>
      <c r="B366" s="506" t="s">
        <v>327</v>
      </c>
      <c r="C366" s="507">
        <v>19</v>
      </c>
      <c r="D366" s="617">
        <f>300003028.48/1000000</f>
        <v>300.00302848000001</v>
      </c>
      <c r="E366" s="508">
        <f t="shared" si="12"/>
        <v>3.2094594594594593E-2</v>
      </c>
      <c r="F366" s="507">
        <v>34</v>
      </c>
      <c r="G366" s="617">
        <f>393438422.11/1000000</f>
        <v>393.43842211000003</v>
      </c>
      <c r="H366" s="508">
        <f t="shared" si="11"/>
        <v>2.0556227327690448E-2</v>
      </c>
      <c r="J366" s="509" t="s">
        <v>51</v>
      </c>
      <c r="K366" s="510">
        <f>SUM(K342:K365)</f>
        <v>517</v>
      </c>
      <c r="L366" s="489">
        <f>SUM(L342:L365)</f>
        <v>6388.4717449199998</v>
      </c>
      <c r="M366" s="510">
        <f>SUM(M342:M365)</f>
        <v>1639</v>
      </c>
      <c r="N366" s="489">
        <f>SUM(N342:N365)</f>
        <v>18624.366041329999</v>
      </c>
      <c r="P366" s="94"/>
      <c r="Q366" s="94"/>
    </row>
    <row r="367" spans="1:17" s="36" customFormat="1" ht="25" customHeight="1" x14ac:dyDescent="0.25">
      <c r="A367" s="34"/>
      <c r="B367" s="509" t="s">
        <v>51</v>
      </c>
      <c r="C367" s="510">
        <f>SUM(C342:C366)</f>
        <v>592</v>
      </c>
      <c r="D367" s="618">
        <f>SUM(D342:D366)</f>
        <v>7713.7058343099998</v>
      </c>
      <c r="E367" s="511">
        <f t="shared" ref="E367:H367" si="13">SUM(E342:E366)</f>
        <v>1</v>
      </c>
      <c r="F367" s="510">
        <f t="shared" si="13"/>
        <v>1654</v>
      </c>
      <c r="G367" s="618">
        <f>SUM(G342:G366)</f>
        <v>18413.568399969998</v>
      </c>
      <c r="H367" s="511">
        <f t="shared" si="13"/>
        <v>0.99999999999999989</v>
      </c>
      <c r="P367" s="75"/>
      <c r="Q367" s="75"/>
    </row>
    <row r="368" spans="1:17" ht="18.75" customHeight="1" x14ac:dyDescent="0.25">
      <c r="A368" s="15"/>
      <c r="B368" s="302" t="s">
        <v>101</v>
      </c>
      <c r="C368" s="503"/>
      <c r="D368" s="503"/>
      <c r="E368" s="503"/>
      <c r="F368" s="96"/>
      <c r="G368" s="96"/>
      <c r="H368" s="19"/>
      <c r="K368" s="68"/>
      <c r="L368" s="68"/>
      <c r="N368" s="68"/>
      <c r="Q368" s="47"/>
    </row>
    <row r="369" spans="1:17" x14ac:dyDescent="0.25">
      <c r="A369" s="15"/>
      <c r="C369" s="2"/>
      <c r="D369" s="2"/>
      <c r="G369" s="19"/>
      <c r="H369" s="19"/>
      <c r="Q369" s="19"/>
    </row>
    <row r="370" spans="1:17" x14ac:dyDescent="0.25">
      <c r="A370" s="15"/>
      <c r="C370" s="2"/>
      <c r="D370" s="2"/>
      <c r="G370" s="19"/>
      <c r="H370" s="19"/>
      <c r="Q370" s="20"/>
    </row>
    <row r="371" spans="1:17" x14ac:dyDescent="0.25">
      <c r="A371" s="15"/>
      <c r="B371" s="441"/>
      <c r="C371" s="503"/>
      <c r="D371" s="503"/>
      <c r="E371" s="503"/>
      <c r="F371" s="76"/>
      <c r="G371" s="76"/>
      <c r="H371" s="19"/>
      <c r="Q371" s="20"/>
    </row>
    <row r="372" spans="1:17" x14ac:dyDescent="0.25">
      <c r="A372" s="15"/>
      <c r="B372" s="441"/>
      <c r="C372" s="386"/>
      <c r="D372" s="386"/>
      <c r="E372" s="441"/>
      <c r="F372" s="14"/>
      <c r="G372" s="77"/>
      <c r="H372" s="19"/>
      <c r="O372" s="68"/>
      <c r="Q372" s="20"/>
    </row>
    <row r="373" spans="1:17" x14ac:dyDescent="0.25">
      <c r="A373" s="15"/>
      <c r="B373" s="441"/>
      <c r="C373" s="386"/>
      <c r="D373" s="386"/>
      <c r="E373" s="441"/>
      <c r="F373" s="14"/>
      <c r="G373" s="78"/>
      <c r="I373" s="14"/>
      <c r="J373" s="79"/>
      <c r="N373" s="21"/>
      <c r="O373" s="21"/>
      <c r="P373" s="4"/>
      <c r="Q373" s="20"/>
    </row>
    <row r="374" spans="1:17" x14ac:dyDescent="0.25">
      <c r="A374" s="15"/>
      <c r="B374" s="441"/>
      <c r="C374" s="386"/>
      <c r="D374" s="386"/>
      <c r="E374" s="441"/>
      <c r="F374" s="14"/>
      <c r="G374" s="78"/>
      <c r="I374" s="14"/>
      <c r="J374" s="79"/>
      <c r="L374" s="47"/>
      <c r="M374" s="23"/>
      <c r="N374" s="63"/>
      <c r="O374" s="63"/>
      <c r="P374" s="4"/>
      <c r="Q374" s="20"/>
    </row>
    <row r="375" spans="1:17" x14ac:dyDescent="0.25">
      <c r="A375" s="15"/>
      <c r="B375" s="441"/>
      <c r="C375" s="386"/>
      <c r="D375" s="386"/>
      <c r="E375" s="441"/>
      <c r="F375" s="14"/>
      <c r="G375" s="78"/>
      <c r="I375" s="14"/>
      <c r="L375" s="16"/>
      <c r="M375" s="23"/>
      <c r="N375" s="63"/>
      <c r="O375" s="63"/>
      <c r="P375" s="4"/>
      <c r="Q375" s="20"/>
    </row>
    <row r="376" spans="1:17" ht="12.75" customHeight="1" x14ac:dyDescent="0.25">
      <c r="A376" s="15"/>
      <c r="B376" s="441"/>
      <c r="C376" s="386"/>
      <c r="D376" s="386"/>
      <c r="E376" s="441"/>
      <c r="F376" s="14"/>
      <c r="G376" s="78"/>
      <c r="I376" s="14"/>
      <c r="L376" s="16"/>
      <c r="M376" s="23"/>
      <c r="N376" s="63"/>
      <c r="O376" s="63"/>
      <c r="P376" s="4"/>
      <c r="Q376" s="20"/>
    </row>
    <row r="377" spans="1:17" ht="12.75" customHeight="1" x14ac:dyDescent="0.25">
      <c r="A377" s="15"/>
      <c r="B377" s="492"/>
      <c r="C377" s="386"/>
      <c r="D377" s="386"/>
      <c r="F377" s="80"/>
      <c r="G377" s="81"/>
      <c r="L377" s="16"/>
      <c r="M377" s="23"/>
      <c r="N377" s="63"/>
      <c r="O377" s="63"/>
      <c r="P377" s="4"/>
      <c r="Q377" s="20"/>
    </row>
    <row r="378" spans="1:17" ht="15" customHeight="1" x14ac:dyDescent="0.25">
      <c r="A378" s="15"/>
      <c r="L378" s="16"/>
      <c r="M378" s="23"/>
      <c r="N378" s="63"/>
      <c r="O378" s="63"/>
      <c r="P378" s="4"/>
      <c r="Q378" s="20"/>
    </row>
    <row r="379" spans="1:17" ht="15" customHeight="1" x14ac:dyDescent="0.25">
      <c r="A379" s="15"/>
      <c r="L379" s="16"/>
      <c r="M379" s="23"/>
      <c r="N379" s="63"/>
      <c r="O379" s="63"/>
      <c r="P379" s="4"/>
      <c r="Q379" s="20"/>
    </row>
    <row r="380" spans="1:17" ht="14.25" customHeight="1" x14ac:dyDescent="0.25">
      <c r="A380" s="15"/>
      <c r="L380" s="16"/>
      <c r="M380" s="23"/>
      <c r="N380" s="63"/>
      <c r="O380" s="63"/>
      <c r="Q380" s="20"/>
    </row>
    <row r="381" spans="1:17" ht="12.75" customHeight="1" x14ac:dyDescent="0.25">
      <c r="A381" s="15"/>
      <c r="L381" s="16"/>
      <c r="M381" s="23"/>
      <c r="N381" s="63"/>
      <c r="O381" s="63"/>
      <c r="Q381" s="23"/>
    </row>
    <row r="382" spans="1:17" x14ac:dyDescent="0.25">
      <c r="A382" s="15"/>
      <c r="L382" s="16"/>
      <c r="M382" s="23"/>
      <c r="N382" s="63"/>
      <c r="O382" s="63"/>
      <c r="Q382" s="23"/>
    </row>
    <row r="383" spans="1:17" x14ac:dyDescent="0.25">
      <c r="A383" s="15"/>
      <c r="L383" s="16"/>
      <c r="M383" s="23"/>
      <c r="N383" s="63"/>
      <c r="O383" s="63"/>
      <c r="Q383" s="23"/>
    </row>
    <row r="384" spans="1:17" x14ac:dyDescent="0.25">
      <c r="A384" s="15"/>
      <c r="L384" s="16"/>
      <c r="N384" s="63"/>
      <c r="O384" s="63"/>
      <c r="Q384" s="23"/>
    </row>
    <row r="385" spans="1:17" x14ac:dyDescent="0.25">
      <c r="A385" s="15"/>
      <c r="L385" s="16"/>
      <c r="N385" s="63"/>
      <c r="O385" s="63"/>
      <c r="Q385" s="23"/>
    </row>
    <row r="386" spans="1:17" x14ac:dyDescent="0.25">
      <c r="A386" s="15"/>
      <c r="L386" s="16"/>
      <c r="N386" s="63"/>
      <c r="O386" s="63"/>
      <c r="Q386" s="23"/>
    </row>
    <row r="387" spans="1:17" x14ac:dyDescent="0.25">
      <c r="A387" s="15"/>
      <c r="L387" s="16"/>
      <c r="Q387" s="23"/>
    </row>
    <row r="388" spans="1:17" ht="12.75" customHeight="1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C418" s="2"/>
      <c r="D418" s="2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ht="26.25" customHeight="1" x14ac:dyDescent="0.25">
      <c r="A421" s="660" t="s">
        <v>193</v>
      </c>
      <c r="B421" s="660"/>
      <c r="C421" s="660"/>
      <c r="D421" s="660"/>
      <c r="E421" s="660"/>
      <c r="F421" s="25"/>
      <c r="Q421" s="23"/>
    </row>
    <row r="422" spans="1:17" x14ac:dyDescent="0.25">
      <c r="A422" s="15"/>
      <c r="K422" s="22"/>
      <c r="Q422" s="23"/>
    </row>
    <row r="423" spans="1:17" ht="15" customHeight="1" x14ac:dyDescent="0.35">
      <c r="A423" s="15"/>
      <c r="B423" s="695" t="s">
        <v>191</v>
      </c>
      <c r="C423" s="696"/>
      <c r="D423" s="696"/>
      <c r="E423" s="712"/>
      <c r="F423" s="104"/>
      <c r="G423" s="704" t="s">
        <v>191</v>
      </c>
      <c r="H423" s="697"/>
      <c r="I423" s="697"/>
      <c r="J423" s="698"/>
      <c r="K423" s="22"/>
      <c r="Q423" s="23"/>
    </row>
    <row r="424" spans="1:17" ht="15" customHeight="1" x14ac:dyDescent="0.35">
      <c r="A424" s="15"/>
      <c r="B424" s="695" t="s">
        <v>503</v>
      </c>
      <c r="C424" s="696"/>
      <c r="D424" s="696"/>
      <c r="E424" s="712"/>
      <c r="F424" s="104"/>
      <c r="G424" s="704" t="s">
        <v>504</v>
      </c>
      <c r="H424" s="697"/>
      <c r="I424" s="697"/>
      <c r="J424" s="698"/>
      <c r="K424" s="22"/>
      <c r="Q424" s="23"/>
    </row>
    <row r="425" spans="1:17" x14ac:dyDescent="0.35">
      <c r="A425" s="15"/>
      <c r="B425" s="705" t="s">
        <v>42</v>
      </c>
      <c r="C425" s="705" t="s">
        <v>52</v>
      </c>
      <c r="D425" s="701" t="s">
        <v>163</v>
      </c>
      <c r="E425" s="703" t="s">
        <v>29</v>
      </c>
      <c r="F425" s="104"/>
      <c r="G425" s="693" t="s">
        <v>42</v>
      </c>
      <c r="H425" s="693" t="s">
        <v>52</v>
      </c>
      <c r="I425" s="693" t="s">
        <v>163</v>
      </c>
      <c r="J425" s="693" t="s">
        <v>29</v>
      </c>
      <c r="K425" s="22"/>
      <c r="L425" s="22"/>
      <c r="M425" s="19"/>
      <c r="P425" s="23"/>
      <c r="Q425" s="23"/>
    </row>
    <row r="426" spans="1:17" x14ac:dyDescent="0.35">
      <c r="A426" s="15"/>
      <c r="B426" s="702"/>
      <c r="C426" s="702"/>
      <c r="D426" s="702"/>
      <c r="E426" s="702"/>
      <c r="F426" s="104"/>
      <c r="G426" s="694"/>
      <c r="H426" s="694"/>
      <c r="I426" s="694"/>
      <c r="J426" s="694"/>
      <c r="L426" s="22"/>
      <c r="M426" s="19"/>
      <c r="P426" s="23"/>
      <c r="Q426" s="23"/>
    </row>
    <row r="427" spans="1:17" x14ac:dyDescent="0.35">
      <c r="A427" s="15"/>
      <c r="B427" s="512" t="s">
        <v>44</v>
      </c>
      <c r="C427" s="513">
        <v>81</v>
      </c>
      <c r="D427" s="513">
        <v>29</v>
      </c>
      <c r="E427" s="513">
        <f t="shared" ref="E427:E449" si="14">+C427+D427</f>
        <v>110</v>
      </c>
      <c r="F427" s="104"/>
      <c r="G427" s="545" t="s">
        <v>44</v>
      </c>
      <c r="H427" s="513">
        <v>240</v>
      </c>
      <c r="I427" s="513">
        <v>37</v>
      </c>
      <c r="J427" s="513">
        <v>277</v>
      </c>
      <c r="L427" s="22"/>
      <c r="M427" s="19"/>
      <c r="P427" s="23"/>
      <c r="Q427" s="23"/>
    </row>
    <row r="428" spans="1:17" x14ac:dyDescent="0.35">
      <c r="A428" s="15"/>
      <c r="B428" s="512" t="s">
        <v>45</v>
      </c>
      <c r="C428" s="513">
        <v>102</v>
      </c>
      <c r="D428" s="513">
        <v>113</v>
      </c>
      <c r="E428" s="513">
        <f t="shared" si="14"/>
        <v>215</v>
      </c>
      <c r="F428" s="104"/>
      <c r="G428" s="545" t="s">
        <v>45</v>
      </c>
      <c r="H428" s="513">
        <v>3</v>
      </c>
      <c r="I428" s="513">
        <v>70</v>
      </c>
      <c r="J428" s="513">
        <v>73</v>
      </c>
      <c r="L428" s="22"/>
      <c r="M428" s="19"/>
      <c r="P428" s="23"/>
      <c r="Q428" s="23"/>
    </row>
    <row r="429" spans="1:17" x14ac:dyDescent="0.35">
      <c r="A429" s="15"/>
      <c r="B429" s="512" t="s">
        <v>46</v>
      </c>
      <c r="C429" s="513">
        <v>0</v>
      </c>
      <c r="D429" s="513">
        <v>4</v>
      </c>
      <c r="E429" s="513">
        <f t="shared" si="14"/>
        <v>4</v>
      </c>
      <c r="F429" s="104"/>
      <c r="G429" s="545" t="s">
        <v>46</v>
      </c>
      <c r="H429" s="513">
        <v>1</v>
      </c>
      <c r="I429" s="513">
        <v>12</v>
      </c>
      <c r="J429" s="513">
        <v>13</v>
      </c>
      <c r="L429" s="22"/>
      <c r="M429" s="19"/>
      <c r="P429" s="23"/>
      <c r="Q429" s="23"/>
    </row>
    <row r="430" spans="1:17" x14ac:dyDescent="0.35">
      <c r="A430" s="15"/>
      <c r="B430" s="512" t="s">
        <v>47</v>
      </c>
      <c r="C430" s="513">
        <v>10</v>
      </c>
      <c r="D430" s="513">
        <v>4</v>
      </c>
      <c r="E430" s="513">
        <f t="shared" si="14"/>
        <v>14</v>
      </c>
      <c r="F430" s="104"/>
      <c r="G430" s="545" t="s">
        <v>47</v>
      </c>
      <c r="H430" s="513">
        <v>0</v>
      </c>
      <c r="I430" s="513">
        <v>2</v>
      </c>
      <c r="J430" s="513">
        <v>2</v>
      </c>
      <c r="L430" s="22"/>
      <c r="M430" s="19"/>
      <c r="P430" s="23"/>
      <c r="Q430" s="23"/>
    </row>
    <row r="431" spans="1:17" x14ac:dyDescent="0.35">
      <c r="A431" s="15"/>
      <c r="B431" s="512" t="s">
        <v>48</v>
      </c>
      <c r="C431" s="513">
        <v>9</v>
      </c>
      <c r="D431" s="513">
        <v>0</v>
      </c>
      <c r="E431" s="513">
        <f t="shared" si="14"/>
        <v>9</v>
      </c>
      <c r="F431" s="104"/>
      <c r="G431" s="545" t="s">
        <v>48</v>
      </c>
      <c r="H431" s="513">
        <v>1</v>
      </c>
      <c r="I431" s="513">
        <v>0</v>
      </c>
      <c r="J431" s="513">
        <v>1</v>
      </c>
      <c r="L431" s="22"/>
      <c r="M431" s="19"/>
      <c r="P431" s="23"/>
      <c r="Q431" s="23"/>
    </row>
    <row r="432" spans="1:17" x14ac:dyDescent="0.35">
      <c r="A432" s="15"/>
      <c r="B432" s="512" t="s">
        <v>49</v>
      </c>
      <c r="C432" s="513">
        <v>26</v>
      </c>
      <c r="D432" s="513">
        <v>0</v>
      </c>
      <c r="E432" s="513">
        <f t="shared" si="14"/>
        <v>26</v>
      </c>
      <c r="F432" s="104"/>
      <c r="G432" s="545" t="s">
        <v>49</v>
      </c>
      <c r="H432" s="513">
        <v>30</v>
      </c>
      <c r="I432" s="513">
        <v>0</v>
      </c>
      <c r="J432" s="513">
        <v>30</v>
      </c>
      <c r="L432" s="22"/>
      <c r="M432" s="19"/>
      <c r="P432" s="23"/>
      <c r="Q432" s="23"/>
    </row>
    <row r="433" spans="1:17" x14ac:dyDescent="0.35">
      <c r="A433" s="15"/>
      <c r="B433" s="512" t="s">
        <v>93</v>
      </c>
      <c r="C433" s="513">
        <v>56</v>
      </c>
      <c r="D433" s="513">
        <v>19</v>
      </c>
      <c r="E433" s="513">
        <f t="shared" si="14"/>
        <v>75</v>
      </c>
      <c r="F433" s="104"/>
      <c r="G433" s="545" t="s">
        <v>93</v>
      </c>
      <c r="H433" s="513">
        <v>0</v>
      </c>
      <c r="I433" s="513">
        <v>19</v>
      </c>
      <c r="J433" s="513">
        <v>19</v>
      </c>
      <c r="L433" s="22"/>
      <c r="M433" s="19"/>
      <c r="P433" s="23"/>
      <c r="Q433" s="23"/>
    </row>
    <row r="434" spans="1:17" x14ac:dyDescent="0.35">
      <c r="A434" s="15"/>
      <c r="B434" s="512" t="s">
        <v>184</v>
      </c>
      <c r="C434" s="513">
        <v>8</v>
      </c>
      <c r="D434" s="513">
        <v>13</v>
      </c>
      <c r="E434" s="513">
        <f t="shared" si="14"/>
        <v>21</v>
      </c>
      <c r="F434" s="104"/>
      <c r="G434" s="545" t="s">
        <v>184</v>
      </c>
      <c r="H434" s="513">
        <v>0</v>
      </c>
      <c r="I434" s="513">
        <v>4</v>
      </c>
      <c r="J434" s="513">
        <v>4</v>
      </c>
      <c r="L434" s="22"/>
      <c r="M434" s="19"/>
      <c r="P434" s="23"/>
      <c r="Q434" s="23"/>
    </row>
    <row r="435" spans="1:17" x14ac:dyDescent="0.35">
      <c r="A435" s="15"/>
      <c r="B435" s="512" t="s">
        <v>50</v>
      </c>
      <c r="C435" s="513">
        <v>2</v>
      </c>
      <c r="D435" s="513">
        <v>1</v>
      </c>
      <c r="E435" s="513">
        <f t="shared" si="14"/>
        <v>3</v>
      </c>
      <c r="F435" s="104"/>
      <c r="G435" s="545" t="s">
        <v>50</v>
      </c>
      <c r="H435" s="513">
        <v>0</v>
      </c>
      <c r="I435" s="513">
        <v>36</v>
      </c>
      <c r="J435" s="513">
        <v>36</v>
      </c>
      <c r="L435" s="22"/>
      <c r="M435" s="19"/>
      <c r="P435" s="23"/>
      <c r="Q435" s="23"/>
    </row>
    <row r="436" spans="1:17" x14ac:dyDescent="0.35">
      <c r="A436" s="15"/>
      <c r="B436" s="512" t="s">
        <v>185</v>
      </c>
      <c r="C436" s="513">
        <v>13</v>
      </c>
      <c r="D436" s="513">
        <v>20</v>
      </c>
      <c r="E436" s="513">
        <f t="shared" si="14"/>
        <v>33</v>
      </c>
      <c r="F436" s="104"/>
      <c r="G436" s="545" t="s">
        <v>185</v>
      </c>
      <c r="H436" s="513">
        <v>8</v>
      </c>
      <c r="I436" s="513">
        <v>0</v>
      </c>
      <c r="J436" s="513">
        <v>8</v>
      </c>
      <c r="L436" s="22"/>
      <c r="M436" s="19"/>
      <c r="P436" s="23"/>
      <c r="Q436" s="23"/>
    </row>
    <row r="437" spans="1:17" x14ac:dyDescent="0.35">
      <c r="A437" s="15"/>
      <c r="B437" s="512" t="s">
        <v>186</v>
      </c>
      <c r="C437" s="513">
        <v>0</v>
      </c>
      <c r="D437" s="513">
        <v>0</v>
      </c>
      <c r="E437" s="513">
        <f t="shared" si="14"/>
        <v>0</v>
      </c>
      <c r="F437" s="104"/>
      <c r="G437" s="545" t="s">
        <v>186</v>
      </c>
      <c r="H437" s="513">
        <v>23</v>
      </c>
      <c r="I437" s="513">
        <v>1</v>
      </c>
      <c r="J437" s="513">
        <v>24</v>
      </c>
      <c r="L437" s="22"/>
      <c r="M437" s="19"/>
      <c r="P437" s="23"/>
      <c r="Q437" s="23"/>
    </row>
    <row r="438" spans="1:17" x14ac:dyDescent="0.35">
      <c r="A438" s="15"/>
      <c r="B438" s="512" t="s">
        <v>61</v>
      </c>
      <c r="C438" s="513">
        <v>0</v>
      </c>
      <c r="D438" s="513">
        <v>0</v>
      </c>
      <c r="E438" s="513">
        <f t="shared" si="14"/>
        <v>0</v>
      </c>
      <c r="F438" s="104"/>
      <c r="G438" s="545" t="s">
        <v>61</v>
      </c>
      <c r="H438" s="513">
        <v>2</v>
      </c>
      <c r="I438" s="513">
        <v>0</v>
      </c>
      <c r="J438" s="513">
        <v>2</v>
      </c>
      <c r="L438" s="22"/>
      <c r="M438" s="19"/>
      <c r="P438" s="23"/>
      <c r="Q438" s="23"/>
    </row>
    <row r="439" spans="1:17" x14ac:dyDescent="0.35">
      <c r="A439" s="15"/>
      <c r="B439" s="512" t="s">
        <v>187</v>
      </c>
      <c r="C439" s="513">
        <v>2</v>
      </c>
      <c r="D439" s="513">
        <v>0</v>
      </c>
      <c r="E439" s="513">
        <f t="shared" si="14"/>
        <v>2</v>
      </c>
      <c r="F439" s="104"/>
      <c r="G439" s="545" t="s">
        <v>187</v>
      </c>
      <c r="H439" s="513">
        <v>3</v>
      </c>
      <c r="I439" s="513">
        <v>0</v>
      </c>
      <c r="J439" s="513">
        <v>3</v>
      </c>
      <c r="L439" s="22"/>
      <c r="M439" s="19"/>
      <c r="P439" s="23"/>
      <c r="Q439" s="23"/>
    </row>
    <row r="440" spans="1:17" x14ac:dyDescent="0.35">
      <c r="A440" s="15"/>
      <c r="B440" s="512" t="s">
        <v>188</v>
      </c>
      <c r="C440" s="513">
        <v>2</v>
      </c>
      <c r="D440" s="513">
        <v>1</v>
      </c>
      <c r="E440" s="513">
        <f t="shared" si="14"/>
        <v>3</v>
      </c>
      <c r="F440" s="104"/>
      <c r="G440" s="545" t="s">
        <v>188</v>
      </c>
      <c r="H440" s="513">
        <v>2</v>
      </c>
      <c r="I440" s="513">
        <v>0</v>
      </c>
      <c r="J440" s="513">
        <v>2</v>
      </c>
      <c r="L440" s="22"/>
      <c r="M440" s="19"/>
      <c r="P440" s="23"/>
      <c r="Q440" s="23"/>
    </row>
    <row r="441" spans="1:17" x14ac:dyDescent="0.35">
      <c r="A441" s="15"/>
      <c r="B441" s="512" t="s">
        <v>102</v>
      </c>
      <c r="C441" s="513">
        <v>3</v>
      </c>
      <c r="D441" s="513">
        <v>6</v>
      </c>
      <c r="E441" s="513">
        <f t="shared" si="14"/>
        <v>9</v>
      </c>
      <c r="F441" s="104"/>
      <c r="G441" s="545" t="s">
        <v>102</v>
      </c>
      <c r="H441" s="513">
        <v>0</v>
      </c>
      <c r="I441" s="513">
        <v>0</v>
      </c>
      <c r="J441" s="513">
        <v>0</v>
      </c>
      <c r="L441" s="22"/>
      <c r="M441" s="19"/>
      <c r="P441" s="23"/>
      <c r="Q441" s="23"/>
    </row>
    <row r="442" spans="1:17" x14ac:dyDescent="0.35">
      <c r="A442" s="15"/>
      <c r="B442" s="512" t="s">
        <v>328</v>
      </c>
      <c r="C442" s="513">
        <v>1</v>
      </c>
      <c r="D442" s="513">
        <v>5</v>
      </c>
      <c r="E442" s="513">
        <f t="shared" si="14"/>
        <v>6</v>
      </c>
      <c r="F442" s="104"/>
      <c r="G442" s="619" t="s">
        <v>216</v>
      </c>
      <c r="H442" s="513">
        <v>0</v>
      </c>
      <c r="I442" s="513">
        <v>6</v>
      </c>
      <c r="J442" s="513">
        <v>6</v>
      </c>
      <c r="L442" s="22"/>
      <c r="M442" s="19"/>
      <c r="P442" s="23"/>
      <c r="Q442" s="23"/>
    </row>
    <row r="443" spans="1:17" x14ac:dyDescent="0.35">
      <c r="A443" s="15"/>
      <c r="B443" s="512" t="s">
        <v>206</v>
      </c>
      <c r="C443" s="513">
        <v>0</v>
      </c>
      <c r="D443" s="513">
        <v>0</v>
      </c>
      <c r="E443" s="513">
        <f t="shared" si="14"/>
        <v>0</v>
      </c>
      <c r="F443" s="104"/>
      <c r="G443" s="545" t="s">
        <v>189</v>
      </c>
      <c r="H443" s="513">
        <v>0</v>
      </c>
      <c r="I443" s="513">
        <v>0</v>
      </c>
      <c r="J443" s="513">
        <v>0</v>
      </c>
      <c r="L443" s="22"/>
      <c r="M443" s="19"/>
      <c r="P443" s="23"/>
      <c r="Q443" s="23"/>
    </row>
    <row r="444" spans="1:17" x14ac:dyDescent="0.35">
      <c r="A444" s="15"/>
      <c r="B444" s="573" t="s">
        <v>324</v>
      </c>
      <c r="C444" s="574">
        <v>0</v>
      </c>
      <c r="D444" s="574">
        <v>0</v>
      </c>
      <c r="E444" s="513">
        <f t="shared" si="14"/>
        <v>0</v>
      </c>
      <c r="F444" s="104"/>
      <c r="G444" s="545" t="s">
        <v>287</v>
      </c>
      <c r="H444" s="574">
        <v>0</v>
      </c>
      <c r="I444" s="574">
        <v>0</v>
      </c>
      <c r="J444" s="574">
        <v>0</v>
      </c>
      <c r="L444" s="22"/>
      <c r="M444" s="19"/>
      <c r="P444" s="23"/>
      <c r="Q444" s="23"/>
    </row>
    <row r="445" spans="1:17" x14ac:dyDescent="0.35">
      <c r="A445" s="15"/>
      <c r="B445" s="512" t="s">
        <v>98</v>
      </c>
      <c r="C445" s="513">
        <v>0</v>
      </c>
      <c r="D445" s="513">
        <v>0</v>
      </c>
      <c r="E445" s="513">
        <f>+C445+D445</f>
        <v>0</v>
      </c>
      <c r="F445" s="104"/>
      <c r="G445" s="545" t="s">
        <v>98</v>
      </c>
      <c r="H445" s="513">
        <v>0</v>
      </c>
      <c r="I445" s="513">
        <v>2</v>
      </c>
      <c r="J445" s="513">
        <v>2</v>
      </c>
      <c r="L445" s="22"/>
      <c r="M445" s="19"/>
      <c r="P445" s="23"/>
      <c r="Q445" s="23"/>
    </row>
    <row r="446" spans="1:17" x14ac:dyDescent="0.35">
      <c r="A446" s="15"/>
      <c r="B446" s="512" t="s">
        <v>164</v>
      </c>
      <c r="C446" s="513">
        <v>0</v>
      </c>
      <c r="D446" s="513">
        <v>0</v>
      </c>
      <c r="E446" s="513">
        <f t="shared" si="14"/>
        <v>0</v>
      </c>
      <c r="F446" s="104"/>
      <c r="G446" s="545" t="s">
        <v>164</v>
      </c>
      <c r="H446" s="513">
        <v>0</v>
      </c>
      <c r="I446" s="513">
        <v>0</v>
      </c>
      <c r="J446" s="513">
        <v>0</v>
      </c>
      <c r="L446" s="22"/>
      <c r="M446" s="19"/>
      <c r="P446" s="23"/>
      <c r="Q446" s="23"/>
    </row>
    <row r="447" spans="1:17" x14ac:dyDescent="0.35">
      <c r="A447" s="15"/>
      <c r="B447" s="512" t="s">
        <v>201</v>
      </c>
      <c r="C447" s="513">
        <v>0</v>
      </c>
      <c r="D447" s="513">
        <v>0</v>
      </c>
      <c r="E447" s="513">
        <f t="shared" si="14"/>
        <v>0</v>
      </c>
      <c r="F447" s="104"/>
      <c r="G447" s="545" t="s">
        <v>201</v>
      </c>
      <c r="H447" s="513">
        <v>0</v>
      </c>
      <c r="I447" s="513">
        <v>0</v>
      </c>
      <c r="J447" s="513">
        <v>0</v>
      </c>
      <c r="L447" s="22"/>
      <c r="M447" s="19"/>
      <c r="P447" s="23"/>
      <c r="Q447" s="23"/>
    </row>
    <row r="448" spans="1:17" x14ac:dyDescent="0.35">
      <c r="A448" s="15"/>
      <c r="B448" s="512" t="s">
        <v>329</v>
      </c>
      <c r="C448" s="513">
        <v>0</v>
      </c>
      <c r="D448" s="513">
        <v>0</v>
      </c>
      <c r="E448" s="513">
        <f t="shared" si="14"/>
        <v>0</v>
      </c>
      <c r="F448" s="104"/>
      <c r="G448" s="619" t="s">
        <v>202</v>
      </c>
      <c r="H448" s="513">
        <v>0</v>
      </c>
      <c r="I448" s="513">
        <v>0</v>
      </c>
      <c r="J448" s="513">
        <v>0</v>
      </c>
      <c r="L448" s="22"/>
      <c r="M448" s="19"/>
      <c r="P448" s="23"/>
      <c r="Q448" s="23"/>
    </row>
    <row r="449" spans="1:17" x14ac:dyDescent="0.35">
      <c r="A449" s="15"/>
      <c r="B449" s="512" t="s">
        <v>200</v>
      </c>
      <c r="C449" s="513">
        <v>31</v>
      </c>
      <c r="D449" s="513">
        <v>1</v>
      </c>
      <c r="E449" s="513">
        <f t="shared" si="14"/>
        <v>32</v>
      </c>
      <c r="F449" s="104"/>
      <c r="G449" s="619" t="s">
        <v>286</v>
      </c>
      <c r="H449" s="513">
        <v>13</v>
      </c>
      <c r="I449" s="513">
        <v>2</v>
      </c>
      <c r="J449" s="513">
        <v>15</v>
      </c>
      <c r="L449" s="22"/>
      <c r="M449" s="19"/>
      <c r="P449" s="23"/>
      <c r="Q449" s="23"/>
    </row>
    <row r="450" spans="1:17" x14ac:dyDescent="0.35">
      <c r="A450" s="15"/>
      <c r="B450" s="512" t="s">
        <v>235</v>
      </c>
      <c r="C450" s="513">
        <v>6</v>
      </c>
      <c r="D450" s="513">
        <v>5</v>
      </c>
      <c r="E450" s="513">
        <f>+C450+D450</f>
        <v>11</v>
      </c>
      <c r="F450" s="104"/>
      <c r="G450" s="545" t="s">
        <v>180</v>
      </c>
      <c r="H450" s="513">
        <v>0</v>
      </c>
      <c r="I450" s="513">
        <v>0</v>
      </c>
      <c r="J450" s="513">
        <v>0</v>
      </c>
      <c r="L450" s="22"/>
      <c r="M450" s="19"/>
      <c r="P450" s="23"/>
      <c r="Q450" s="23"/>
    </row>
    <row r="451" spans="1:17" x14ac:dyDescent="0.35">
      <c r="A451" s="15"/>
      <c r="B451" s="512" t="s">
        <v>327</v>
      </c>
      <c r="C451" s="513">
        <v>7</v>
      </c>
      <c r="D451" s="513">
        <v>12</v>
      </c>
      <c r="E451" s="513">
        <f>+C451+D451</f>
        <v>19</v>
      </c>
      <c r="F451" s="104"/>
      <c r="G451" s="515" t="s">
        <v>51</v>
      </c>
      <c r="H451" s="515">
        <f>SUM(H427:H450)</f>
        <v>326</v>
      </c>
      <c r="I451" s="515">
        <f>SUM(I427:I450)</f>
        <v>191</v>
      </c>
      <c r="J451" s="547">
        <f>SUM(J427:J450)</f>
        <v>517</v>
      </c>
      <c r="L451" s="22"/>
      <c r="M451" s="19"/>
      <c r="P451" s="23"/>
      <c r="Q451" s="23"/>
    </row>
    <row r="452" spans="1:17" x14ac:dyDescent="0.35">
      <c r="A452" s="15"/>
      <c r="B452" s="514" t="s">
        <v>51</v>
      </c>
      <c r="C452" s="515">
        <f>SUM(C427:C451)</f>
        <v>359</v>
      </c>
      <c r="D452" s="515">
        <f>SUM(D427:D451)</f>
        <v>233</v>
      </c>
      <c r="E452" s="515">
        <f>SUM(E427:E451)</f>
        <v>592</v>
      </c>
      <c r="F452" s="104"/>
      <c r="G452" s="516" t="s">
        <v>190</v>
      </c>
      <c r="H452" s="368"/>
      <c r="I452" s="548"/>
      <c r="J452" s="548"/>
      <c r="K452" s="68"/>
      <c r="L452" s="22"/>
      <c r="M452" s="19"/>
      <c r="P452" s="23"/>
      <c r="Q452" s="23"/>
    </row>
    <row r="453" spans="1:17" x14ac:dyDescent="0.25">
      <c r="A453" s="15"/>
      <c r="B453" s="516" t="s">
        <v>190</v>
      </c>
      <c r="C453" s="516"/>
      <c r="D453" s="516"/>
      <c r="E453" s="516"/>
      <c r="F453" s="106"/>
      <c r="G453" s="19"/>
      <c r="H453" s="19"/>
      <c r="K453" s="105"/>
      <c r="Q453" s="23"/>
    </row>
    <row r="454" spans="1:17" x14ac:dyDescent="0.25">
      <c r="A454" s="15"/>
      <c r="B454" s="99"/>
      <c r="C454" s="100"/>
      <c r="D454" s="100"/>
      <c r="E454" s="101"/>
      <c r="F454" s="102"/>
      <c r="G454" s="100"/>
      <c r="H454" s="101"/>
      <c r="I454" s="102"/>
      <c r="K454" s="22"/>
      <c r="Q454" s="23"/>
    </row>
    <row r="455" spans="1:17" x14ac:dyDescent="0.25">
      <c r="A455" s="15"/>
      <c r="B455" s="695" t="s">
        <v>192</v>
      </c>
      <c r="C455" s="696"/>
      <c r="D455" s="696"/>
      <c r="E455" s="712"/>
      <c r="F455" s="100"/>
      <c r="G455" s="704" t="s">
        <v>192</v>
      </c>
      <c r="H455" s="697"/>
      <c r="I455" s="697"/>
      <c r="J455" s="698"/>
      <c r="K455" s="22"/>
      <c r="Q455" s="23"/>
    </row>
    <row r="456" spans="1:17" ht="15" customHeight="1" x14ac:dyDescent="0.25">
      <c r="A456" s="15"/>
      <c r="B456" s="695" t="s">
        <v>503</v>
      </c>
      <c r="C456" s="696"/>
      <c r="D456" s="696"/>
      <c r="E456" s="712"/>
      <c r="F456" s="100"/>
      <c r="G456" s="704" t="s">
        <v>504</v>
      </c>
      <c r="H456" s="697"/>
      <c r="I456" s="697"/>
      <c r="J456" s="698"/>
      <c r="K456" s="22"/>
      <c r="Q456" s="23"/>
    </row>
    <row r="457" spans="1:17" x14ac:dyDescent="0.25">
      <c r="A457" s="15"/>
      <c r="B457" s="705" t="s">
        <v>42</v>
      </c>
      <c r="C457" s="705" t="s">
        <v>52</v>
      </c>
      <c r="D457" s="701" t="s">
        <v>163</v>
      </c>
      <c r="E457" s="703" t="s">
        <v>29</v>
      </c>
      <c r="F457" s="100"/>
      <c r="G457" s="693" t="s">
        <v>42</v>
      </c>
      <c r="H457" s="693" t="s">
        <v>52</v>
      </c>
      <c r="I457" s="693" t="s">
        <v>163</v>
      </c>
      <c r="J457" s="693" t="s">
        <v>29</v>
      </c>
      <c r="K457" s="22"/>
      <c r="L457" s="22"/>
      <c r="M457" s="19"/>
      <c r="P457" s="23"/>
      <c r="Q457" s="23"/>
    </row>
    <row r="458" spans="1:17" x14ac:dyDescent="0.25">
      <c r="A458" s="15"/>
      <c r="B458" s="702"/>
      <c r="C458" s="702"/>
      <c r="D458" s="702"/>
      <c r="E458" s="702"/>
      <c r="F458" s="100"/>
      <c r="G458" s="694"/>
      <c r="H458" s="694"/>
      <c r="I458" s="694"/>
      <c r="J458" s="694"/>
      <c r="L458" s="22"/>
      <c r="M458" s="19"/>
      <c r="P458" s="23"/>
      <c r="Q458" s="23"/>
    </row>
    <row r="459" spans="1:17" x14ac:dyDescent="0.25">
      <c r="A459" s="15"/>
      <c r="B459" s="512" t="s">
        <v>44</v>
      </c>
      <c r="C459" s="513">
        <v>374</v>
      </c>
      <c r="D459" s="513">
        <v>15</v>
      </c>
      <c r="E459" s="513">
        <f t="shared" ref="E459:E483" si="15">+C459+D459</f>
        <v>389</v>
      </c>
      <c r="F459" s="100"/>
      <c r="G459" s="545" t="s">
        <v>44</v>
      </c>
      <c r="H459" s="549">
        <v>399</v>
      </c>
      <c r="I459" s="549">
        <v>36</v>
      </c>
      <c r="J459" s="513">
        <f>+H459+I459</f>
        <v>435</v>
      </c>
      <c r="L459" s="22"/>
      <c r="M459" s="19"/>
      <c r="P459" s="23"/>
      <c r="Q459" s="23"/>
    </row>
    <row r="460" spans="1:17" x14ac:dyDescent="0.25">
      <c r="A460" s="15"/>
      <c r="B460" s="512" t="s">
        <v>45</v>
      </c>
      <c r="C460" s="513">
        <v>365</v>
      </c>
      <c r="D460" s="513">
        <v>95</v>
      </c>
      <c r="E460" s="513">
        <f t="shared" si="15"/>
        <v>460</v>
      </c>
      <c r="F460" s="100"/>
      <c r="G460" s="545" t="s">
        <v>45</v>
      </c>
      <c r="H460" s="549">
        <v>433</v>
      </c>
      <c r="I460" s="549">
        <v>146</v>
      </c>
      <c r="J460" s="513">
        <f t="shared" ref="J460:J481" si="16">+H460+I460</f>
        <v>579</v>
      </c>
      <c r="L460" s="22"/>
      <c r="M460" s="19"/>
      <c r="P460" s="23"/>
      <c r="Q460" s="23"/>
    </row>
    <row r="461" spans="1:17" x14ac:dyDescent="0.25">
      <c r="A461" s="15"/>
      <c r="B461" s="512" t="s">
        <v>46</v>
      </c>
      <c r="C461" s="513">
        <v>1</v>
      </c>
      <c r="D461" s="513">
        <v>1</v>
      </c>
      <c r="E461" s="513">
        <f t="shared" si="15"/>
        <v>2</v>
      </c>
      <c r="F461" s="100"/>
      <c r="G461" s="545" t="s">
        <v>46</v>
      </c>
      <c r="H461" s="549">
        <v>2</v>
      </c>
      <c r="I461" s="549">
        <v>1</v>
      </c>
      <c r="J461" s="513">
        <f t="shared" si="16"/>
        <v>3</v>
      </c>
      <c r="L461" s="22"/>
      <c r="M461" s="19"/>
      <c r="P461" s="23"/>
      <c r="Q461" s="23"/>
    </row>
    <row r="462" spans="1:17" x14ac:dyDescent="0.25">
      <c r="A462" s="15"/>
      <c r="B462" s="512" t="s">
        <v>47</v>
      </c>
      <c r="C462" s="513">
        <v>44</v>
      </c>
      <c r="D462" s="513">
        <v>6</v>
      </c>
      <c r="E462" s="513">
        <f t="shared" si="15"/>
        <v>50</v>
      </c>
      <c r="F462" s="100"/>
      <c r="G462" s="545" t="s">
        <v>47</v>
      </c>
      <c r="H462" s="549">
        <v>18</v>
      </c>
      <c r="I462" s="549">
        <v>0</v>
      </c>
      <c r="J462" s="513">
        <f t="shared" si="16"/>
        <v>18</v>
      </c>
      <c r="L462" s="22"/>
      <c r="M462" s="19"/>
      <c r="P462" s="23"/>
      <c r="Q462" s="23"/>
    </row>
    <row r="463" spans="1:17" x14ac:dyDescent="0.25">
      <c r="A463" s="15"/>
      <c r="B463" s="512" t="s">
        <v>48</v>
      </c>
      <c r="C463" s="513">
        <v>5</v>
      </c>
      <c r="D463" s="513">
        <v>0</v>
      </c>
      <c r="E463" s="513">
        <f t="shared" si="15"/>
        <v>5</v>
      </c>
      <c r="F463" s="100"/>
      <c r="G463" s="545" t="s">
        <v>48</v>
      </c>
      <c r="H463" s="549">
        <v>6</v>
      </c>
      <c r="I463" s="549">
        <v>0</v>
      </c>
      <c r="J463" s="513">
        <f t="shared" si="16"/>
        <v>6</v>
      </c>
      <c r="L463" s="22"/>
      <c r="M463" s="19"/>
      <c r="P463" s="23"/>
      <c r="Q463" s="23"/>
    </row>
    <row r="464" spans="1:17" x14ac:dyDescent="0.25">
      <c r="A464" s="15"/>
      <c r="B464" s="512" t="s">
        <v>49</v>
      </c>
      <c r="C464" s="513">
        <v>59</v>
      </c>
      <c r="D464" s="513">
        <v>5</v>
      </c>
      <c r="E464" s="513">
        <f t="shared" si="15"/>
        <v>64</v>
      </c>
      <c r="F464" s="100"/>
      <c r="G464" s="545" t="s">
        <v>49</v>
      </c>
      <c r="H464" s="549">
        <v>42</v>
      </c>
      <c r="I464" s="549">
        <v>6</v>
      </c>
      <c r="J464" s="513">
        <f t="shared" si="16"/>
        <v>48</v>
      </c>
      <c r="L464" s="22"/>
      <c r="M464" s="19"/>
      <c r="P464" s="23"/>
      <c r="Q464" s="23"/>
    </row>
    <row r="465" spans="1:17" x14ac:dyDescent="0.25">
      <c r="A465" s="15"/>
      <c r="B465" s="512" t="s">
        <v>93</v>
      </c>
      <c r="C465" s="513">
        <v>131</v>
      </c>
      <c r="D465" s="513">
        <v>20</v>
      </c>
      <c r="E465" s="513">
        <f t="shared" si="15"/>
        <v>151</v>
      </c>
      <c r="F465" s="100"/>
      <c r="G465" s="545" t="s">
        <v>93</v>
      </c>
      <c r="H465" s="549">
        <v>82</v>
      </c>
      <c r="I465" s="549">
        <v>0</v>
      </c>
      <c r="J465" s="513">
        <f t="shared" si="16"/>
        <v>82</v>
      </c>
      <c r="L465" s="22"/>
      <c r="M465" s="19"/>
      <c r="P465" s="23"/>
      <c r="Q465" s="23"/>
    </row>
    <row r="466" spans="1:17" x14ac:dyDescent="0.25">
      <c r="A466" s="15"/>
      <c r="B466" s="512" t="s">
        <v>184</v>
      </c>
      <c r="C466" s="513">
        <v>41</v>
      </c>
      <c r="D466" s="513">
        <v>100</v>
      </c>
      <c r="E466" s="513">
        <f t="shared" si="15"/>
        <v>141</v>
      </c>
      <c r="F466" s="100"/>
      <c r="G466" s="545" t="s">
        <v>184</v>
      </c>
      <c r="H466" s="549">
        <v>98</v>
      </c>
      <c r="I466" s="549">
        <v>18</v>
      </c>
      <c r="J466" s="513">
        <f t="shared" si="16"/>
        <v>116</v>
      </c>
      <c r="L466" s="22"/>
      <c r="M466" s="19"/>
      <c r="P466" s="23"/>
      <c r="Q466" s="23"/>
    </row>
    <row r="467" spans="1:17" x14ac:dyDescent="0.25">
      <c r="A467" s="15"/>
      <c r="B467" s="512" t="s">
        <v>50</v>
      </c>
      <c r="C467" s="513">
        <v>106</v>
      </c>
      <c r="D467" s="513">
        <v>12</v>
      </c>
      <c r="E467" s="513">
        <f t="shared" si="15"/>
        <v>118</v>
      </c>
      <c r="F467" s="100"/>
      <c r="G467" s="545" t="s">
        <v>50</v>
      </c>
      <c r="H467" s="549">
        <v>57</v>
      </c>
      <c r="I467" s="549">
        <v>55</v>
      </c>
      <c r="J467" s="513">
        <f t="shared" si="16"/>
        <v>112</v>
      </c>
      <c r="L467" s="22"/>
      <c r="M467" s="19"/>
      <c r="P467" s="23"/>
      <c r="Q467" s="23"/>
    </row>
    <row r="468" spans="1:17" x14ac:dyDescent="0.25">
      <c r="A468" s="15"/>
      <c r="B468" s="512" t="s">
        <v>185</v>
      </c>
      <c r="C468" s="513">
        <v>41</v>
      </c>
      <c r="D468" s="513">
        <v>12</v>
      </c>
      <c r="E468" s="513">
        <f t="shared" si="15"/>
        <v>53</v>
      </c>
      <c r="F468" s="100"/>
      <c r="G468" s="545" t="s">
        <v>185</v>
      </c>
      <c r="H468" s="549">
        <v>43</v>
      </c>
      <c r="I468" s="549">
        <v>8</v>
      </c>
      <c r="J468" s="513">
        <f t="shared" si="16"/>
        <v>51</v>
      </c>
      <c r="L468" s="22"/>
      <c r="M468" s="19"/>
      <c r="P468" s="23"/>
      <c r="Q468" s="23"/>
    </row>
    <row r="469" spans="1:17" x14ac:dyDescent="0.25">
      <c r="A469" s="15"/>
      <c r="B469" s="512" t="s">
        <v>186</v>
      </c>
      <c r="C469" s="513">
        <v>0</v>
      </c>
      <c r="D469" s="513">
        <v>0</v>
      </c>
      <c r="E469" s="513">
        <f t="shared" si="15"/>
        <v>0</v>
      </c>
      <c r="F469" s="100"/>
      <c r="G469" s="545" t="s">
        <v>186</v>
      </c>
      <c r="H469" s="549">
        <v>2</v>
      </c>
      <c r="I469" s="549">
        <v>1</v>
      </c>
      <c r="J469" s="513">
        <f t="shared" si="16"/>
        <v>3</v>
      </c>
      <c r="L469" s="22"/>
      <c r="M469" s="19"/>
      <c r="P469" s="23"/>
      <c r="Q469" s="23"/>
    </row>
    <row r="470" spans="1:17" x14ac:dyDescent="0.25">
      <c r="A470" s="15"/>
      <c r="B470" s="512" t="s">
        <v>61</v>
      </c>
      <c r="C470" s="513">
        <v>4</v>
      </c>
      <c r="D470" s="513">
        <v>0</v>
      </c>
      <c r="E470" s="513">
        <f t="shared" si="15"/>
        <v>4</v>
      </c>
      <c r="F470" s="100"/>
      <c r="G470" s="545" t="s">
        <v>61</v>
      </c>
      <c r="H470" s="549">
        <v>0</v>
      </c>
      <c r="I470" s="549">
        <v>0</v>
      </c>
      <c r="J470" s="513">
        <f t="shared" si="16"/>
        <v>0</v>
      </c>
      <c r="L470" s="22"/>
      <c r="M470" s="19"/>
      <c r="P470" s="23"/>
      <c r="Q470" s="23"/>
    </row>
    <row r="471" spans="1:17" x14ac:dyDescent="0.25">
      <c r="A471" s="15"/>
      <c r="B471" s="512" t="s">
        <v>187</v>
      </c>
      <c r="C471" s="513">
        <v>10</v>
      </c>
      <c r="D471" s="513">
        <v>0</v>
      </c>
      <c r="E471" s="513">
        <f t="shared" si="15"/>
        <v>10</v>
      </c>
      <c r="F471" s="100"/>
      <c r="G471" s="545" t="s">
        <v>187</v>
      </c>
      <c r="H471" s="549">
        <v>16</v>
      </c>
      <c r="I471" s="549">
        <v>0</v>
      </c>
      <c r="J471" s="513">
        <f t="shared" si="16"/>
        <v>16</v>
      </c>
      <c r="L471" s="22"/>
      <c r="M471" s="19"/>
      <c r="P471" s="23"/>
      <c r="Q471" s="23"/>
    </row>
    <row r="472" spans="1:17" x14ac:dyDescent="0.25">
      <c r="A472" s="15"/>
      <c r="B472" s="512" t="s">
        <v>188</v>
      </c>
      <c r="C472" s="513">
        <v>44</v>
      </c>
      <c r="D472" s="513">
        <v>2</v>
      </c>
      <c r="E472" s="513">
        <f t="shared" si="15"/>
        <v>46</v>
      </c>
      <c r="F472" s="100"/>
      <c r="G472" s="545" t="s">
        <v>188</v>
      </c>
      <c r="H472" s="549">
        <v>33</v>
      </c>
      <c r="I472" s="549">
        <v>1</v>
      </c>
      <c r="J472" s="513">
        <f t="shared" si="16"/>
        <v>34</v>
      </c>
      <c r="L472" s="22"/>
      <c r="M472" s="19"/>
      <c r="P472" s="23"/>
      <c r="Q472" s="23"/>
    </row>
    <row r="473" spans="1:17" x14ac:dyDescent="0.25">
      <c r="A473" s="15"/>
      <c r="B473" s="512" t="s">
        <v>102</v>
      </c>
      <c r="C473" s="513">
        <v>13</v>
      </c>
      <c r="D473" s="513">
        <v>1</v>
      </c>
      <c r="E473" s="513">
        <f t="shared" si="15"/>
        <v>14</v>
      </c>
      <c r="F473" s="100"/>
      <c r="G473" s="545" t="s">
        <v>102</v>
      </c>
      <c r="H473" s="549">
        <v>39</v>
      </c>
      <c r="I473" s="549">
        <v>0</v>
      </c>
      <c r="J473" s="513">
        <f t="shared" si="16"/>
        <v>39</v>
      </c>
      <c r="L473" s="22"/>
      <c r="M473" s="19"/>
      <c r="P473" s="23"/>
      <c r="Q473" s="23"/>
    </row>
    <row r="474" spans="1:17" x14ac:dyDescent="0.25">
      <c r="A474" s="15"/>
      <c r="B474" s="512" t="s">
        <v>328</v>
      </c>
      <c r="C474" s="513">
        <v>40</v>
      </c>
      <c r="D474" s="513">
        <v>8</v>
      </c>
      <c r="E474" s="513">
        <f t="shared" si="15"/>
        <v>48</v>
      </c>
      <c r="F474" s="100"/>
      <c r="G474" s="545" t="s">
        <v>216</v>
      </c>
      <c r="H474" s="549">
        <v>42</v>
      </c>
      <c r="I474" s="549">
        <v>2</v>
      </c>
      <c r="J474" s="513">
        <f t="shared" si="16"/>
        <v>44</v>
      </c>
      <c r="L474" s="22"/>
      <c r="M474" s="19"/>
      <c r="P474" s="23"/>
      <c r="Q474" s="23"/>
    </row>
    <row r="475" spans="1:17" x14ac:dyDescent="0.25">
      <c r="A475" s="15"/>
      <c r="B475" s="512" t="s">
        <v>206</v>
      </c>
      <c r="C475" s="513">
        <v>1</v>
      </c>
      <c r="D475" s="513">
        <v>0</v>
      </c>
      <c r="E475" s="513">
        <f t="shared" si="15"/>
        <v>1</v>
      </c>
      <c r="F475" s="100"/>
      <c r="G475" s="545" t="s">
        <v>189</v>
      </c>
      <c r="H475" s="549">
        <v>3</v>
      </c>
      <c r="I475" s="549">
        <v>0</v>
      </c>
      <c r="J475" s="513">
        <f t="shared" si="16"/>
        <v>3</v>
      </c>
      <c r="L475" s="22"/>
      <c r="M475" s="19"/>
      <c r="P475" s="23"/>
      <c r="Q475" s="23"/>
    </row>
    <row r="476" spans="1:17" x14ac:dyDescent="0.25">
      <c r="A476" s="15"/>
      <c r="B476" s="573" t="s">
        <v>324</v>
      </c>
      <c r="C476" s="574">
        <v>2</v>
      </c>
      <c r="D476" s="574">
        <v>0</v>
      </c>
      <c r="E476" s="513">
        <f t="shared" si="15"/>
        <v>2</v>
      </c>
      <c r="F476" s="100"/>
      <c r="G476" s="575" t="s">
        <v>287</v>
      </c>
      <c r="H476" s="574">
        <v>4</v>
      </c>
      <c r="I476" s="574">
        <v>0</v>
      </c>
      <c r="J476" s="513">
        <f t="shared" si="16"/>
        <v>4</v>
      </c>
      <c r="L476" s="22"/>
      <c r="M476" s="19"/>
      <c r="P476" s="23"/>
      <c r="Q476" s="23"/>
    </row>
    <row r="477" spans="1:17" ht="17.149999999999999" customHeight="1" x14ac:dyDescent="0.25">
      <c r="A477" s="15"/>
      <c r="B477" s="512" t="s">
        <v>98</v>
      </c>
      <c r="C477" s="513">
        <v>0</v>
      </c>
      <c r="D477" s="513">
        <v>0</v>
      </c>
      <c r="E477" s="513">
        <f t="shared" si="15"/>
        <v>0</v>
      </c>
      <c r="F477" s="100"/>
      <c r="G477" s="546" t="s">
        <v>98</v>
      </c>
      <c r="H477" s="549">
        <v>1</v>
      </c>
      <c r="I477" s="549">
        <v>0</v>
      </c>
      <c r="J477" s="513">
        <f t="shared" si="16"/>
        <v>1</v>
      </c>
      <c r="L477" s="22"/>
      <c r="M477" s="19"/>
      <c r="P477" s="23"/>
      <c r="Q477" s="23"/>
    </row>
    <row r="478" spans="1:17" x14ac:dyDescent="0.25">
      <c r="A478" s="15"/>
      <c r="B478" s="512" t="s">
        <v>164</v>
      </c>
      <c r="C478" s="513">
        <v>0</v>
      </c>
      <c r="D478" s="513">
        <v>0</v>
      </c>
      <c r="E478" s="513">
        <f t="shared" si="15"/>
        <v>0</v>
      </c>
      <c r="F478" s="100"/>
      <c r="G478" s="546" t="s">
        <v>164</v>
      </c>
      <c r="H478" s="549">
        <v>1</v>
      </c>
      <c r="I478" s="549">
        <v>0</v>
      </c>
      <c r="J478" s="513">
        <f t="shared" si="16"/>
        <v>1</v>
      </c>
      <c r="L478" s="22"/>
      <c r="M478" s="19"/>
      <c r="P478" s="23"/>
      <c r="Q478" s="23"/>
    </row>
    <row r="479" spans="1:17" x14ac:dyDescent="0.25">
      <c r="A479" s="15"/>
      <c r="B479" s="512" t="s">
        <v>201</v>
      </c>
      <c r="C479" s="517">
        <v>0</v>
      </c>
      <c r="D479" s="517">
        <v>0</v>
      </c>
      <c r="E479" s="513">
        <f t="shared" si="15"/>
        <v>0</v>
      </c>
      <c r="F479" s="100"/>
      <c r="G479" s="545" t="s">
        <v>201</v>
      </c>
      <c r="H479" s="550">
        <v>0</v>
      </c>
      <c r="I479" s="550">
        <v>0</v>
      </c>
      <c r="J479" s="513">
        <f t="shared" si="16"/>
        <v>0</v>
      </c>
      <c r="L479" s="22"/>
      <c r="M479" s="19"/>
      <c r="P479" s="23"/>
      <c r="Q479" s="23"/>
    </row>
    <row r="480" spans="1:17" x14ac:dyDescent="0.25">
      <c r="A480" s="15"/>
      <c r="B480" s="512" t="s">
        <v>329</v>
      </c>
      <c r="C480" s="517">
        <v>0</v>
      </c>
      <c r="D480" s="513">
        <v>0</v>
      </c>
      <c r="E480" s="513">
        <f t="shared" si="15"/>
        <v>0</v>
      </c>
      <c r="F480" s="100"/>
      <c r="G480" s="545" t="s">
        <v>202</v>
      </c>
      <c r="H480" s="550">
        <v>0</v>
      </c>
      <c r="I480" s="549">
        <v>0</v>
      </c>
      <c r="J480" s="513">
        <f t="shared" si="16"/>
        <v>0</v>
      </c>
      <c r="L480" s="22"/>
      <c r="M480" s="19"/>
      <c r="P480" s="23"/>
      <c r="Q480" s="23"/>
    </row>
    <row r="481" spans="1:17" x14ac:dyDescent="0.25">
      <c r="A481" s="15"/>
      <c r="B481" s="512" t="s">
        <v>200</v>
      </c>
      <c r="C481" s="517">
        <v>25</v>
      </c>
      <c r="D481" s="513">
        <v>8</v>
      </c>
      <c r="E481" s="513">
        <f t="shared" si="15"/>
        <v>33</v>
      </c>
      <c r="F481" s="100"/>
      <c r="G481" s="545" t="s">
        <v>200</v>
      </c>
      <c r="H481" s="550">
        <v>18</v>
      </c>
      <c r="I481" s="549">
        <v>2</v>
      </c>
      <c r="J481" s="513">
        <f t="shared" si="16"/>
        <v>20</v>
      </c>
      <c r="L481" s="22"/>
      <c r="M481" s="19"/>
      <c r="P481" s="23"/>
      <c r="Q481" s="23"/>
    </row>
    <row r="482" spans="1:17" x14ac:dyDescent="0.25">
      <c r="A482" s="15"/>
      <c r="B482" s="512" t="s">
        <v>235</v>
      </c>
      <c r="C482" s="517">
        <v>21</v>
      </c>
      <c r="D482" s="513">
        <v>8</v>
      </c>
      <c r="E482" s="513">
        <f t="shared" si="15"/>
        <v>29</v>
      </c>
      <c r="F482" s="100"/>
      <c r="G482" s="545" t="s">
        <v>235</v>
      </c>
      <c r="H482" s="550">
        <v>24</v>
      </c>
      <c r="I482" s="549">
        <v>0</v>
      </c>
      <c r="J482" s="513">
        <f>+H482+I482</f>
        <v>24</v>
      </c>
      <c r="L482" s="22"/>
      <c r="M482" s="19"/>
      <c r="P482" s="23"/>
      <c r="Q482" s="23"/>
    </row>
    <row r="483" spans="1:17" x14ac:dyDescent="0.25">
      <c r="A483" s="15"/>
      <c r="B483" s="512" t="s">
        <v>327</v>
      </c>
      <c r="C483" s="517">
        <v>28</v>
      </c>
      <c r="D483" s="513">
        <v>6</v>
      </c>
      <c r="E483" s="513">
        <f t="shared" si="15"/>
        <v>34</v>
      </c>
      <c r="F483" s="100"/>
      <c r="G483" s="518" t="s">
        <v>51</v>
      </c>
      <c r="H483" s="515">
        <f>SUM(H459:H482)</f>
        <v>1363</v>
      </c>
      <c r="I483" s="515">
        <f>SUM(I459:I482)</f>
        <v>276</v>
      </c>
      <c r="J483" s="515">
        <f>SUM(J459:J482)</f>
        <v>1639</v>
      </c>
      <c r="L483" s="22"/>
      <c r="M483" s="19"/>
      <c r="O483" s="21"/>
      <c r="P483" s="23"/>
      <c r="Q483" s="23"/>
    </row>
    <row r="484" spans="1:17" s="25" customFormat="1" ht="14.25" customHeight="1" x14ac:dyDescent="0.25">
      <c r="A484" s="26"/>
      <c r="B484" s="518" t="s">
        <v>51</v>
      </c>
      <c r="C484" s="515">
        <f>SUM(C459:C483)</f>
        <v>1355</v>
      </c>
      <c r="D484" s="515">
        <f>SUM(D459:D483)</f>
        <v>299</v>
      </c>
      <c r="E484" s="515">
        <f>SUM(E459:E483)</f>
        <v>1654</v>
      </c>
      <c r="F484" s="107"/>
      <c r="K484" s="116"/>
      <c r="L484" s="295"/>
      <c r="P484" s="70"/>
      <c r="Q484" s="70"/>
    </row>
    <row r="485" spans="1:17" x14ac:dyDescent="0.25">
      <c r="A485" s="15"/>
      <c r="B485" s="519"/>
      <c r="C485" s="520"/>
      <c r="D485" s="520"/>
      <c r="E485" s="521"/>
      <c r="F485" s="103"/>
      <c r="G485" s="98"/>
      <c r="Q485" s="23"/>
    </row>
    <row r="486" spans="1:17" x14ac:dyDescent="0.25">
      <c r="A486" s="15"/>
      <c r="H486" s="30"/>
      <c r="I486" s="8"/>
      <c r="K486" s="5"/>
      <c r="Q486" s="23"/>
    </row>
    <row r="487" spans="1:17" ht="26.25" customHeight="1" x14ac:dyDescent="0.25">
      <c r="A487" s="26"/>
      <c r="B487" s="660" t="s">
        <v>312</v>
      </c>
      <c r="C487" s="660"/>
      <c r="D487" s="660"/>
      <c r="E487" s="660"/>
      <c r="F487" s="660"/>
      <c r="G487" s="316"/>
      <c r="H487" s="317"/>
      <c r="I487" s="6"/>
      <c r="K487" s="5"/>
      <c r="L487" s="7"/>
      <c r="M487" s="23"/>
      <c r="N487" s="8"/>
      <c r="O487" s="5"/>
      <c r="P487" s="5"/>
      <c r="Q487" s="3"/>
    </row>
    <row r="488" spans="1:17" x14ac:dyDescent="0.25">
      <c r="B488" s="522"/>
      <c r="C488" s="523"/>
      <c r="D488" s="523"/>
      <c r="E488" s="522"/>
      <c r="F488" s="5"/>
      <c r="G488" s="316"/>
      <c r="H488" s="318"/>
      <c r="I488" s="318"/>
      <c r="J488" s="318"/>
      <c r="K488" s="318"/>
      <c r="L488" s="7"/>
      <c r="M488" s="578"/>
      <c r="N488" s="6"/>
      <c r="O488" s="5"/>
      <c r="P488" s="5"/>
      <c r="Q488" s="3"/>
    </row>
    <row r="489" spans="1:17" s="29" customFormat="1" x14ac:dyDescent="0.25">
      <c r="B489" s="603" t="s">
        <v>313</v>
      </c>
      <c r="C489" s="603" t="s">
        <v>122</v>
      </c>
      <c r="D489" s="603" t="s">
        <v>9</v>
      </c>
      <c r="E489" s="603" t="s">
        <v>123</v>
      </c>
      <c r="F489" s="604" t="s">
        <v>124</v>
      </c>
      <c r="G489" s="30"/>
      <c r="H489" s="611" t="s">
        <v>318</v>
      </c>
      <c r="I489" s="611" t="s">
        <v>122</v>
      </c>
      <c r="J489" s="612" t="s">
        <v>9</v>
      </c>
      <c r="K489" s="611" t="s">
        <v>123</v>
      </c>
      <c r="L489" s="611" t="s">
        <v>124</v>
      </c>
      <c r="M489" s="82"/>
      <c r="N489" s="49"/>
      <c r="O489" s="49"/>
      <c r="P489" s="36"/>
      <c r="Q489" s="36"/>
    </row>
    <row r="490" spans="1:17" ht="24" customHeight="1" x14ac:dyDescent="0.25">
      <c r="B490" s="605" t="s">
        <v>314</v>
      </c>
      <c r="C490" s="606">
        <v>10214.222164630561</v>
      </c>
      <c r="D490" s="606">
        <v>699.55</v>
      </c>
      <c r="E490" s="606">
        <v>9514.6721646305614</v>
      </c>
      <c r="F490" s="607">
        <v>6.8487838694401657E-2</v>
      </c>
      <c r="G490" s="30"/>
      <c r="H490" s="566" t="s">
        <v>125</v>
      </c>
      <c r="I490" s="608">
        <v>4000</v>
      </c>
      <c r="J490" s="608">
        <v>3222.5472284699999</v>
      </c>
      <c r="K490" s="609">
        <v>777.45277153000006</v>
      </c>
      <c r="L490" s="610">
        <v>0.80563680711749996</v>
      </c>
      <c r="M490" s="6"/>
      <c r="N490" s="5"/>
      <c r="O490" s="5"/>
      <c r="P490" s="3"/>
      <c r="Q490" s="3"/>
    </row>
    <row r="491" spans="1:17" ht="24" customHeight="1" x14ac:dyDescent="0.25">
      <c r="B491" s="605" t="s">
        <v>315</v>
      </c>
      <c r="C491" s="606">
        <v>62742.336791313639</v>
      </c>
      <c r="D491" s="606">
        <v>1715.796</v>
      </c>
      <c r="E491" s="606">
        <v>61026.540791313637</v>
      </c>
      <c r="F491" s="607">
        <v>2.7346702206946544E-2</v>
      </c>
      <c r="G491" s="30"/>
      <c r="H491" s="566" t="s">
        <v>319</v>
      </c>
      <c r="I491" s="608">
        <v>1000</v>
      </c>
      <c r="J491" s="608">
        <v>632.27954063000016</v>
      </c>
      <c r="K491" s="609">
        <v>367.72045936999984</v>
      </c>
      <c r="L491" s="610">
        <v>0.63227954063000014</v>
      </c>
      <c r="M491" s="6"/>
      <c r="N491" s="5"/>
      <c r="O491" s="5"/>
      <c r="P491" s="3"/>
      <c r="Q491" s="3"/>
    </row>
    <row r="492" spans="1:17" ht="36.75" customHeight="1" x14ac:dyDescent="0.25">
      <c r="B492" s="605" t="s">
        <v>316</v>
      </c>
      <c r="C492" s="606">
        <v>4548.1475681610355</v>
      </c>
      <c r="D492" s="606">
        <v>319.274</v>
      </c>
      <c r="E492" s="606">
        <v>4228.8735681610351</v>
      </c>
      <c r="F492" s="607">
        <v>7.0198689733607947E-2</v>
      </c>
      <c r="G492" s="30"/>
      <c r="H492" s="613" t="s">
        <v>320</v>
      </c>
      <c r="I492" s="608">
        <v>0</v>
      </c>
      <c r="J492" s="608">
        <v>0</v>
      </c>
      <c r="K492" s="609">
        <v>0</v>
      </c>
      <c r="L492" s="610">
        <v>0</v>
      </c>
      <c r="M492" s="6"/>
      <c r="N492" s="5"/>
      <c r="O492" s="5"/>
      <c r="P492" s="3"/>
      <c r="Q492" s="3"/>
    </row>
    <row r="493" spans="1:17" ht="24" customHeight="1" x14ac:dyDescent="0.25">
      <c r="B493" s="605" t="s">
        <v>110</v>
      </c>
      <c r="C493" s="606">
        <v>1710.3328039933306</v>
      </c>
      <c r="D493" s="606">
        <v>103.89400000000001</v>
      </c>
      <c r="E493" s="606">
        <v>1606.4388039933306</v>
      </c>
      <c r="F493" s="607">
        <v>6.0744902838456662E-2</v>
      </c>
      <c r="G493" s="30"/>
      <c r="H493" s="566" t="s">
        <v>321</v>
      </c>
      <c r="I493" s="608">
        <v>50</v>
      </c>
      <c r="J493" s="608">
        <v>18.152577879999999</v>
      </c>
      <c r="K493" s="609">
        <v>31.847422120000001</v>
      </c>
      <c r="L493" s="610">
        <v>0.36305155759999996</v>
      </c>
      <c r="M493" s="6"/>
      <c r="N493" s="5"/>
      <c r="O493" s="5"/>
      <c r="P493" s="3"/>
      <c r="Q493" s="3"/>
    </row>
    <row r="494" spans="1:17" ht="24" customHeight="1" x14ac:dyDescent="0.25">
      <c r="B494" s="605" t="s">
        <v>317</v>
      </c>
      <c r="C494" s="606">
        <v>6029.1620073731374</v>
      </c>
      <c r="D494" s="606">
        <v>171.14699999999999</v>
      </c>
      <c r="E494" s="606">
        <v>5858.0150073731375</v>
      </c>
      <c r="F494" s="607">
        <v>2.8386531957625652E-2</v>
      </c>
      <c r="G494" s="30"/>
      <c r="H494" s="613" t="s">
        <v>322</v>
      </c>
      <c r="I494" s="608">
        <v>100</v>
      </c>
      <c r="J494" s="608">
        <v>78.099306769999998</v>
      </c>
      <c r="K494" s="609">
        <v>21.900693230000002</v>
      </c>
      <c r="L494" s="610">
        <v>0.78099306769999999</v>
      </c>
      <c r="M494" s="6"/>
      <c r="N494" s="5"/>
      <c r="O494" s="5"/>
      <c r="P494" s="3"/>
      <c r="Q494" s="3"/>
    </row>
    <row r="495" spans="1:17" ht="24" customHeight="1" x14ac:dyDescent="0.25">
      <c r="B495" s="605" t="s">
        <v>6</v>
      </c>
      <c r="C495" s="606">
        <v>85244.201335471691</v>
      </c>
      <c r="D495" s="606">
        <v>3009.6610000000001</v>
      </c>
      <c r="E495" s="606">
        <v>82234.540335471698</v>
      </c>
      <c r="F495" s="607">
        <v>3.5306342869654221E-2</v>
      </c>
      <c r="G495" s="30"/>
      <c r="H495" s="613" t="s">
        <v>323</v>
      </c>
      <c r="I495" s="608">
        <v>51679.47</v>
      </c>
      <c r="J495" s="608">
        <v>6211.5079429200014</v>
      </c>
      <c r="K495" s="609">
        <v>45467.962057080003</v>
      </c>
      <c r="L495" s="610">
        <v>0.12019294979070028</v>
      </c>
      <c r="M495" s="6"/>
      <c r="N495" s="5"/>
      <c r="O495" s="5"/>
      <c r="P495" s="3"/>
      <c r="Q495" s="3"/>
    </row>
    <row r="496" spans="1:17" x14ac:dyDescent="0.25">
      <c r="B496" s="19"/>
      <c r="C496" s="19"/>
      <c r="E496" s="525"/>
      <c r="H496" s="612" t="s">
        <v>6</v>
      </c>
      <c r="I496" s="614">
        <v>56829.47</v>
      </c>
      <c r="J496" s="615">
        <v>10162.586596670002</v>
      </c>
      <c r="K496" s="614">
        <v>1020.1643823221602</v>
      </c>
      <c r="L496" s="616">
        <v>0.17882599638303862</v>
      </c>
      <c r="M496" s="23"/>
      <c r="N496" s="23"/>
      <c r="O496" s="5"/>
      <c r="P496" s="5"/>
      <c r="Q496" s="3"/>
    </row>
    <row r="497" spans="2:17" ht="21" customHeight="1" x14ac:dyDescent="0.25">
      <c r="B497" s="524" t="s">
        <v>297</v>
      </c>
      <c r="D497" s="526"/>
      <c r="E497" s="527"/>
      <c r="F497" s="296"/>
      <c r="G497" s="327"/>
      <c r="H497" s="328"/>
      <c r="I497" s="329"/>
      <c r="J497" s="330"/>
      <c r="K497" s="331"/>
      <c r="L497" s="7"/>
      <c r="M497" s="23"/>
      <c r="N497" s="6"/>
      <c r="O497" s="5"/>
      <c r="P497" s="5"/>
      <c r="Q497" s="3"/>
    </row>
    <row r="498" spans="2:17" x14ac:dyDescent="0.25">
      <c r="G498" s="19"/>
      <c r="H498" s="30"/>
      <c r="I498" s="23"/>
      <c r="J498" s="28"/>
      <c r="K498" s="5"/>
      <c r="L498" s="7"/>
      <c r="M498" s="23"/>
      <c r="N498" s="6"/>
      <c r="O498" s="5"/>
      <c r="P498" s="5"/>
      <c r="Q498" s="3"/>
    </row>
    <row r="499" spans="2:17" x14ac:dyDescent="0.25">
      <c r="G499" s="19"/>
      <c r="H499" s="30"/>
      <c r="I499" s="23"/>
      <c r="J499" s="28"/>
      <c r="K499" s="5"/>
      <c r="L499" s="7"/>
      <c r="M499" s="23"/>
      <c r="N499" s="6"/>
      <c r="O499" s="5"/>
      <c r="P499" s="5"/>
      <c r="Q499" s="3"/>
    </row>
    <row r="500" spans="2:17" x14ac:dyDescent="0.25">
      <c r="G500" s="19"/>
      <c r="H500" s="30"/>
      <c r="I500" s="23"/>
      <c r="J500" s="28"/>
      <c r="K500" s="5"/>
      <c r="L500" s="7"/>
      <c r="M500" s="23"/>
      <c r="N500" s="6"/>
      <c r="O500" s="5"/>
      <c r="P500" s="5"/>
      <c r="Q500" s="3"/>
    </row>
    <row r="501" spans="2:17" ht="71.25" customHeight="1" x14ac:dyDescent="0.25">
      <c r="G501" s="19"/>
      <c r="H501" s="30"/>
      <c r="I501" s="23"/>
      <c r="J501" s="28"/>
      <c r="K501" s="5"/>
      <c r="L501" s="7"/>
      <c r="M501" s="23"/>
      <c r="N501" s="6"/>
      <c r="O501" s="5"/>
      <c r="P501" s="5"/>
      <c r="Q501" s="3"/>
    </row>
    <row r="502" spans="2:17" ht="16.5" customHeight="1" x14ac:dyDescent="0.25">
      <c r="G502" s="19"/>
      <c r="H502" s="30"/>
      <c r="I502" s="23"/>
      <c r="J502" s="28"/>
      <c r="K502" s="5"/>
      <c r="L502" s="7"/>
      <c r="M502" s="23"/>
      <c r="N502" s="6"/>
      <c r="O502" s="5"/>
      <c r="P502" s="5"/>
      <c r="Q502" s="3"/>
    </row>
    <row r="503" spans="2:17" x14ac:dyDescent="0.25">
      <c r="G503" s="19"/>
      <c r="H503" s="30"/>
      <c r="I503" s="6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6"/>
      <c r="K504" s="5"/>
      <c r="L504" s="7"/>
      <c r="M504" s="23"/>
      <c r="N504" s="23"/>
      <c r="O504" s="5"/>
      <c r="P504" s="5"/>
      <c r="Q504" s="3"/>
    </row>
    <row r="505" spans="2:17" x14ac:dyDescent="0.25">
      <c r="G505" s="19"/>
      <c r="H505" s="30"/>
      <c r="I505" s="6"/>
      <c r="K505" s="5"/>
      <c r="L505" s="7"/>
      <c r="M505" s="23"/>
      <c r="N505" s="23"/>
      <c r="O505" s="5"/>
      <c r="P505" s="5"/>
      <c r="Q505" s="3"/>
    </row>
    <row r="506" spans="2:17" x14ac:dyDescent="0.25">
      <c r="G506" s="19"/>
      <c r="H506" s="30"/>
      <c r="I506" s="6"/>
      <c r="K506" s="5"/>
      <c r="L506" s="7"/>
      <c r="M506" s="23"/>
      <c r="N506" s="23"/>
      <c r="O506" s="5"/>
      <c r="P506" s="5"/>
      <c r="Q506" s="3"/>
    </row>
    <row r="507" spans="2:17" x14ac:dyDescent="0.25">
      <c r="G507" s="19"/>
      <c r="H507" s="30"/>
      <c r="I507" s="6"/>
      <c r="K507" s="5"/>
      <c r="L507" s="7"/>
      <c r="M507" s="23"/>
      <c r="N507" s="23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23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ht="3" customHeight="1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ht="3.75" customHeight="1" x14ac:dyDescent="0.25">
      <c r="C516" s="2"/>
      <c r="D516" s="2"/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ht="13" x14ac:dyDescent="0.25">
      <c r="B517" s="660" t="s">
        <v>376</v>
      </c>
      <c r="C517" s="660"/>
      <c r="D517" s="660"/>
      <c r="E517" s="660"/>
    </row>
    <row r="518" spans="2:17" ht="13" x14ac:dyDescent="0.25">
      <c r="B518" s="660"/>
      <c r="C518" s="660"/>
      <c r="D518" s="660"/>
      <c r="E518" s="660"/>
      <c r="F518" s="25"/>
      <c r="G518" s="83"/>
    </row>
    <row r="520" spans="2:17" ht="15" customHeight="1" x14ac:dyDescent="0.25">
      <c r="B520" s="710" t="s">
        <v>239</v>
      </c>
      <c r="C520" s="695" t="s">
        <v>238</v>
      </c>
      <c r="D520" s="696"/>
      <c r="E520" s="697" t="s">
        <v>163</v>
      </c>
      <c r="F520" s="698"/>
      <c r="G520" s="3"/>
    </row>
    <row r="521" spans="2:17" x14ac:dyDescent="0.25">
      <c r="B521" s="711"/>
      <c r="C521" s="479" t="s">
        <v>58</v>
      </c>
      <c r="D521" s="528" t="s">
        <v>43</v>
      </c>
      <c r="E521" s="479" t="s">
        <v>58</v>
      </c>
      <c r="F521" s="321" t="s">
        <v>43</v>
      </c>
      <c r="G521" s="3"/>
      <c r="H521" s="19"/>
      <c r="L521" s="22"/>
      <c r="M521" s="19"/>
      <c r="P521" s="22"/>
    </row>
    <row r="522" spans="2:17" ht="14" customHeight="1" x14ac:dyDescent="0.25">
      <c r="B522" s="529" t="s">
        <v>135</v>
      </c>
      <c r="C522" s="462">
        <v>0</v>
      </c>
      <c r="D522" s="463">
        <v>0</v>
      </c>
      <c r="E522" s="464">
        <v>0</v>
      </c>
      <c r="F522" s="463">
        <v>0</v>
      </c>
      <c r="G522" s="3"/>
      <c r="H522" s="19"/>
      <c r="L522" s="22"/>
      <c r="M522" s="19"/>
      <c r="P522" s="22"/>
    </row>
    <row r="523" spans="2:17" ht="14" customHeight="1" x14ac:dyDescent="0.25">
      <c r="B523" s="529" t="s">
        <v>136</v>
      </c>
      <c r="C523" s="462">
        <v>1</v>
      </c>
      <c r="D523" s="463">
        <v>21113593</v>
      </c>
      <c r="E523" s="464">
        <v>0</v>
      </c>
      <c r="F523" s="463">
        <v>0</v>
      </c>
      <c r="G523" s="3"/>
      <c r="H523" s="19"/>
      <c r="L523" s="22"/>
      <c r="M523" s="19"/>
      <c r="P523" s="22"/>
    </row>
    <row r="524" spans="2:17" ht="43.5" hidden="1" x14ac:dyDescent="0.25">
      <c r="B524" s="529" t="s">
        <v>196</v>
      </c>
      <c r="C524" s="462">
        <v>0</v>
      </c>
      <c r="D524" s="463">
        <v>0</v>
      </c>
      <c r="E524" s="464">
        <v>0</v>
      </c>
      <c r="F524" s="135">
        <v>0</v>
      </c>
      <c r="G524" s="3"/>
      <c r="H524" s="19"/>
      <c r="L524" s="22"/>
      <c r="M524" s="19"/>
      <c r="P524" s="22"/>
    </row>
    <row r="525" spans="2:17" x14ac:dyDescent="0.25">
      <c r="B525" s="529" t="s">
        <v>137</v>
      </c>
      <c r="C525" s="462">
        <v>0</v>
      </c>
      <c r="D525" s="564">
        <v>0</v>
      </c>
      <c r="E525" s="464">
        <v>0</v>
      </c>
      <c r="F525" s="135">
        <v>0</v>
      </c>
      <c r="G525" s="3"/>
      <c r="H525" s="19"/>
      <c r="L525" s="22"/>
      <c r="M525" s="19"/>
      <c r="P525" s="22"/>
    </row>
    <row r="526" spans="2:17" x14ac:dyDescent="0.25">
      <c r="B526" s="529" t="s">
        <v>240</v>
      </c>
      <c r="C526" s="462">
        <v>0</v>
      </c>
      <c r="D526" s="463">
        <v>0</v>
      </c>
      <c r="E526" s="464">
        <v>0</v>
      </c>
      <c r="F526" s="135">
        <v>0</v>
      </c>
      <c r="G526" s="3"/>
      <c r="H526" s="19"/>
      <c r="L526" s="22"/>
      <c r="M526" s="19"/>
      <c r="P526" s="22"/>
    </row>
    <row r="527" spans="2:17" ht="29" hidden="1" x14ac:dyDescent="0.25">
      <c r="B527" s="529" t="s">
        <v>139</v>
      </c>
      <c r="C527" s="462">
        <v>0</v>
      </c>
      <c r="D527" s="463">
        <v>0</v>
      </c>
      <c r="E527" s="464">
        <v>0</v>
      </c>
      <c r="F527" s="135">
        <v>0</v>
      </c>
      <c r="G527" s="3"/>
      <c r="H527" s="19"/>
      <c r="L527" s="22"/>
      <c r="M527" s="19"/>
      <c r="P527" s="22"/>
    </row>
    <row r="528" spans="2:17" ht="29" hidden="1" x14ac:dyDescent="0.25">
      <c r="B528" s="529" t="s">
        <v>140</v>
      </c>
      <c r="C528" s="462">
        <v>0</v>
      </c>
      <c r="D528" s="463">
        <v>0</v>
      </c>
      <c r="E528" s="464">
        <v>0</v>
      </c>
      <c r="F528" s="135">
        <v>0</v>
      </c>
      <c r="G528" s="3"/>
      <c r="H528" s="19"/>
      <c r="L528" s="22"/>
      <c r="M528" s="19"/>
      <c r="P528" s="22"/>
    </row>
    <row r="529" spans="2:29" ht="29" hidden="1" x14ac:dyDescent="0.25">
      <c r="B529" s="529" t="s">
        <v>217</v>
      </c>
      <c r="C529" s="462">
        <v>0</v>
      </c>
      <c r="D529" s="463">
        <v>0</v>
      </c>
      <c r="E529" s="464">
        <v>0</v>
      </c>
      <c r="F529" s="135">
        <v>0</v>
      </c>
      <c r="G529" s="3"/>
      <c r="H529" s="19"/>
      <c r="L529" s="22"/>
      <c r="M529" s="19"/>
      <c r="P529" s="22"/>
    </row>
    <row r="530" spans="2:29" hidden="1" x14ac:dyDescent="0.25">
      <c r="B530" s="529" t="s">
        <v>197</v>
      </c>
      <c r="C530" s="462">
        <v>0</v>
      </c>
      <c r="D530" s="463">
        <v>0</v>
      </c>
      <c r="E530" s="464">
        <v>0</v>
      </c>
      <c r="F530" s="135">
        <v>0</v>
      </c>
      <c r="G530" s="3"/>
      <c r="H530" s="19"/>
      <c r="L530" s="22"/>
      <c r="M530" s="19"/>
      <c r="P530" s="22"/>
      <c r="V530" s="163"/>
      <c r="W530" s="151"/>
      <c r="AA530" s="19"/>
    </row>
    <row r="531" spans="2:29" x14ac:dyDescent="0.25">
      <c r="B531" s="530" t="s">
        <v>195</v>
      </c>
      <c r="C531" s="531">
        <f>SUM(C522:C530)</f>
        <v>1</v>
      </c>
      <c r="D531" s="532">
        <f>SUM(D522:D530)</f>
        <v>21113593</v>
      </c>
      <c r="E531" s="531">
        <f>SUM(E522:E530)</f>
        <v>0</v>
      </c>
      <c r="F531" s="322">
        <f>SUM(F522:F530)</f>
        <v>0</v>
      </c>
      <c r="G531" s="3"/>
      <c r="H531" s="319"/>
      <c r="L531" s="22"/>
      <c r="M531" s="19"/>
      <c r="P531" s="22"/>
      <c r="V531" s="163"/>
      <c r="W531" s="151"/>
      <c r="AA531" s="19"/>
    </row>
    <row r="532" spans="2:29" x14ac:dyDescent="0.25">
      <c r="H532" s="541"/>
    </row>
    <row r="533" spans="2:29" x14ac:dyDescent="0.25">
      <c r="D533" s="565"/>
      <c r="E533" s="557"/>
      <c r="F533" s="319"/>
      <c r="G533" s="563"/>
      <c r="H533" s="541"/>
    </row>
    <row r="534" spans="2:29" ht="19.5" customHeight="1" x14ac:dyDescent="0.25">
      <c r="B534" s="660" t="s">
        <v>265</v>
      </c>
      <c r="C534" s="660"/>
      <c r="D534" s="660"/>
      <c r="E534" s="660"/>
      <c r="F534" s="660"/>
      <c r="G534" s="576"/>
      <c r="H534" s="579"/>
    </row>
    <row r="535" spans="2:29" x14ac:dyDescent="0.25">
      <c r="G535" s="563"/>
      <c r="H535" s="541"/>
    </row>
    <row r="536" spans="2:29" x14ac:dyDescent="0.25">
      <c r="B536" s="533" t="s">
        <v>28</v>
      </c>
      <c r="C536" s="534" t="s">
        <v>264</v>
      </c>
      <c r="D536" s="534" t="s">
        <v>43</v>
      </c>
      <c r="E536" s="534" t="s">
        <v>128</v>
      </c>
      <c r="F536" s="435" t="s">
        <v>43</v>
      </c>
      <c r="G536" s="3"/>
      <c r="H536" s="19"/>
      <c r="L536" s="22"/>
      <c r="M536" s="19"/>
      <c r="P536" s="22"/>
      <c r="V536" s="163"/>
      <c r="W536" s="151"/>
      <c r="Y536" s="151" t="s">
        <v>28</v>
      </c>
      <c r="Z536" s="151" t="s">
        <v>264</v>
      </c>
      <c r="AA536" s="19" t="s">
        <v>43</v>
      </c>
      <c r="AB536" s="19" t="s">
        <v>128</v>
      </c>
      <c r="AC536" s="19" t="s">
        <v>43</v>
      </c>
    </row>
    <row r="537" spans="2:29" x14ac:dyDescent="0.25">
      <c r="B537" s="2" t="s">
        <v>59</v>
      </c>
      <c r="C537" s="368">
        <v>3</v>
      </c>
      <c r="D537" s="535">
        <v>16.952000000000002</v>
      </c>
      <c r="E537" s="368">
        <v>1</v>
      </c>
      <c r="F537" s="366">
        <f>F531/1000000</f>
        <v>0</v>
      </c>
      <c r="G537" s="541"/>
      <c r="H537" s="19"/>
      <c r="L537" s="22"/>
      <c r="M537" s="19"/>
      <c r="P537" s="22"/>
      <c r="V537" s="163"/>
      <c r="W537" s="151"/>
      <c r="Y537" s="151" t="s">
        <v>59</v>
      </c>
      <c r="Z537" s="151">
        <v>1</v>
      </c>
      <c r="AA537" s="19">
        <v>5.3659999999999997</v>
      </c>
      <c r="AB537" s="19">
        <v>0</v>
      </c>
      <c r="AC537" s="19">
        <v>0</v>
      </c>
    </row>
    <row r="538" spans="2:29" x14ac:dyDescent="0.25">
      <c r="B538" s="2" t="s">
        <v>32</v>
      </c>
      <c r="C538" s="368">
        <v>1</v>
      </c>
      <c r="D538" s="535">
        <v>21.113593000000002</v>
      </c>
      <c r="E538" s="368">
        <v>0</v>
      </c>
      <c r="F538" s="366">
        <v>0</v>
      </c>
      <c r="G538" s="3"/>
      <c r="H538" s="19"/>
      <c r="L538" s="22"/>
      <c r="M538" s="19"/>
      <c r="P538" s="22"/>
      <c r="V538" s="163"/>
      <c r="W538" s="151"/>
      <c r="Y538" s="151" t="s">
        <v>32</v>
      </c>
      <c r="Z538" s="151">
        <v>1</v>
      </c>
      <c r="AA538" s="19">
        <v>5.0449999999999999</v>
      </c>
      <c r="AB538" s="19">
        <v>0</v>
      </c>
      <c r="AC538" s="19">
        <v>0</v>
      </c>
    </row>
    <row r="539" spans="2:29" hidden="1" x14ac:dyDescent="0.25">
      <c r="B539" s="2" t="s">
        <v>33</v>
      </c>
      <c r="C539" s="368">
        <v>0</v>
      </c>
      <c r="D539" s="535">
        <v>0</v>
      </c>
      <c r="E539" s="368">
        <v>0</v>
      </c>
      <c r="F539" s="366">
        <v>0</v>
      </c>
      <c r="G539" s="3"/>
      <c r="H539" s="319"/>
      <c r="L539" s="22"/>
      <c r="M539" s="19"/>
      <c r="P539" s="22"/>
      <c r="V539" s="163"/>
      <c r="W539" s="151"/>
      <c r="Y539" s="151" t="s">
        <v>33</v>
      </c>
      <c r="Z539" s="151">
        <v>1</v>
      </c>
      <c r="AA539" s="19">
        <v>4.9169999999999998</v>
      </c>
      <c r="AB539" s="19">
        <v>0</v>
      </c>
      <c r="AC539" s="19">
        <v>0</v>
      </c>
    </row>
    <row r="540" spans="2:29" hidden="1" x14ac:dyDescent="0.25">
      <c r="B540" s="2" t="s">
        <v>34</v>
      </c>
      <c r="C540" s="368">
        <v>0</v>
      </c>
      <c r="D540" s="535">
        <v>0</v>
      </c>
      <c r="E540" s="368">
        <v>0</v>
      </c>
      <c r="F540" s="366">
        <v>0</v>
      </c>
      <c r="G540" s="3"/>
      <c r="H540" s="19"/>
      <c r="L540" s="22"/>
      <c r="M540" s="19"/>
      <c r="P540" s="22"/>
      <c r="V540" s="163"/>
      <c r="W540" s="151"/>
      <c r="Y540" s="151" t="s">
        <v>34</v>
      </c>
      <c r="Z540" s="151">
        <v>1</v>
      </c>
      <c r="AA540" s="19">
        <v>5.0640000000000001</v>
      </c>
      <c r="AB540" s="19">
        <v>0</v>
      </c>
      <c r="AC540" s="19">
        <v>0</v>
      </c>
    </row>
    <row r="541" spans="2:29" hidden="1" x14ac:dyDescent="0.25">
      <c r="B541" s="2" t="s">
        <v>35</v>
      </c>
      <c r="C541" s="368">
        <v>0</v>
      </c>
      <c r="D541" s="535">
        <v>0</v>
      </c>
      <c r="E541" s="368">
        <v>0</v>
      </c>
      <c r="F541" s="366">
        <v>0</v>
      </c>
      <c r="G541" s="3"/>
      <c r="H541" s="19"/>
      <c r="L541" s="22"/>
      <c r="M541" s="19"/>
      <c r="P541" s="22"/>
      <c r="V541" s="163"/>
      <c r="W541" s="151"/>
      <c r="Y541" s="151" t="s">
        <v>35</v>
      </c>
      <c r="Z541" s="151">
        <v>2</v>
      </c>
      <c r="AA541" s="19">
        <v>12.92</v>
      </c>
      <c r="AB541" s="19">
        <v>1</v>
      </c>
      <c r="AC541" s="19">
        <v>25.288903999999999</v>
      </c>
    </row>
    <row r="542" spans="2:29" hidden="1" x14ac:dyDescent="0.25">
      <c r="B542" s="2" t="s">
        <v>31</v>
      </c>
      <c r="C542" s="368">
        <v>0</v>
      </c>
      <c r="D542" s="535">
        <v>0</v>
      </c>
      <c r="E542" s="368">
        <v>0</v>
      </c>
      <c r="F542" s="366">
        <v>0</v>
      </c>
      <c r="G542" s="3"/>
      <c r="H542" s="19"/>
      <c r="L542" s="22"/>
      <c r="M542" s="19"/>
      <c r="P542" s="22"/>
      <c r="V542" s="163"/>
      <c r="W542" s="151"/>
      <c r="Y542" s="151" t="s">
        <v>31</v>
      </c>
      <c r="Z542" s="151">
        <v>0</v>
      </c>
      <c r="AA542" s="19">
        <v>0</v>
      </c>
      <c r="AB542" s="19">
        <v>0</v>
      </c>
      <c r="AC542" s="19">
        <v>0</v>
      </c>
    </row>
    <row r="543" spans="2:29" hidden="1" x14ac:dyDescent="0.25">
      <c r="B543" s="2" t="s">
        <v>36</v>
      </c>
      <c r="C543" s="368">
        <v>0</v>
      </c>
      <c r="D543" s="535">
        <v>0</v>
      </c>
      <c r="E543" s="368">
        <v>0</v>
      </c>
      <c r="F543" s="366">
        <v>0</v>
      </c>
      <c r="G543" s="3"/>
      <c r="H543" s="19"/>
      <c r="L543" s="22"/>
      <c r="M543" s="19"/>
      <c r="P543" s="22"/>
      <c r="V543" s="163"/>
      <c r="W543" s="151"/>
      <c r="Y543" s="151" t="s">
        <v>36</v>
      </c>
      <c r="Z543" s="151">
        <v>0</v>
      </c>
      <c r="AA543" s="19">
        <v>0</v>
      </c>
      <c r="AB543" s="19">
        <v>0</v>
      </c>
      <c r="AC543" s="19">
        <v>0</v>
      </c>
    </row>
    <row r="544" spans="2:29" hidden="1" x14ac:dyDescent="0.25">
      <c r="B544" s="2" t="s">
        <v>37</v>
      </c>
      <c r="C544" s="368">
        <v>0</v>
      </c>
      <c r="D544" s="535">
        <v>0</v>
      </c>
      <c r="E544" s="368">
        <v>0</v>
      </c>
      <c r="F544" s="366">
        <v>0</v>
      </c>
      <c r="G544" s="3"/>
      <c r="H544" s="19"/>
      <c r="L544" s="22"/>
      <c r="M544" s="19"/>
      <c r="P544" s="22"/>
      <c r="V544" s="163"/>
      <c r="W544" s="151"/>
      <c r="Y544" s="151" t="s">
        <v>37</v>
      </c>
      <c r="Z544" s="151">
        <v>0</v>
      </c>
      <c r="AA544" s="19">
        <v>0</v>
      </c>
      <c r="AB544" s="19">
        <v>0</v>
      </c>
      <c r="AC544" s="19">
        <v>0</v>
      </c>
    </row>
    <row r="545" spans="2:29" hidden="1" x14ac:dyDescent="0.25">
      <c r="B545" s="2" t="s">
        <v>38</v>
      </c>
      <c r="C545" s="368">
        <v>0</v>
      </c>
      <c r="D545" s="535">
        <v>0</v>
      </c>
      <c r="E545" s="368">
        <v>0</v>
      </c>
      <c r="F545" s="366">
        <v>0</v>
      </c>
      <c r="G545" s="3"/>
      <c r="H545" s="19"/>
      <c r="L545" s="22"/>
      <c r="M545" s="19"/>
      <c r="P545" s="22"/>
      <c r="V545" s="163"/>
      <c r="W545" s="151"/>
      <c r="Y545" s="151" t="s">
        <v>38</v>
      </c>
      <c r="Z545" s="151">
        <v>0</v>
      </c>
      <c r="AA545" s="19">
        <v>0</v>
      </c>
      <c r="AB545" s="19">
        <v>0</v>
      </c>
      <c r="AC545" s="19">
        <v>0</v>
      </c>
    </row>
    <row r="546" spans="2:29" hidden="1" x14ac:dyDescent="0.25">
      <c r="B546" s="2" t="s">
        <v>39</v>
      </c>
      <c r="C546" s="368">
        <v>0</v>
      </c>
      <c r="D546" s="535">
        <v>0</v>
      </c>
      <c r="E546" s="368">
        <v>0</v>
      </c>
      <c r="F546" s="366">
        <v>0</v>
      </c>
      <c r="G546" s="3"/>
      <c r="H546" s="19"/>
      <c r="L546" s="22"/>
      <c r="M546" s="19"/>
      <c r="P546" s="22"/>
      <c r="V546" s="163"/>
      <c r="W546" s="151"/>
      <c r="Y546" s="151" t="s">
        <v>39</v>
      </c>
      <c r="Z546" s="151">
        <v>0</v>
      </c>
      <c r="AA546" s="19">
        <v>0</v>
      </c>
      <c r="AB546" s="19">
        <v>0</v>
      </c>
      <c r="AC546" s="19">
        <v>0</v>
      </c>
    </row>
    <row r="547" spans="2:29" hidden="1" x14ac:dyDescent="0.25">
      <c r="B547" s="2" t="s">
        <v>40</v>
      </c>
      <c r="C547" s="368">
        <v>0</v>
      </c>
      <c r="D547" s="535">
        <v>0</v>
      </c>
      <c r="E547" s="368">
        <v>0</v>
      </c>
      <c r="F547" s="366">
        <v>0</v>
      </c>
      <c r="G547" s="3"/>
      <c r="H547" s="19"/>
      <c r="L547" s="22"/>
      <c r="M547" s="19"/>
      <c r="P547" s="22"/>
      <c r="V547" s="163"/>
      <c r="W547" s="151"/>
      <c r="Y547" s="151" t="s">
        <v>40</v>
      </c>
      <c r="Z547" s="151">
        <v>0</v>
      </c>
      <c r="AA547" s="19">
        <v>18022000</v>
      </c>
      <c r="AB547" s="19">
        <v>0</v>
      </c>
      <c r="AC547" s="19">
        <v>0</v>
      </c>
    </row>
    <row r="548" spans="2:29" hidden="1" x14ac:dyDescent="0.25">
      <c r="B548" s="2" t="s">
        <v>60</v>
      </c>
      <c r="C548" s="368">
        <v>0</v>
      </c>
      <c r="D548" s="535">
        <v>0</v>
      </c>
      <c r="E548" s="368">
        <v>0</v>
      </c>
      <c r="F548" s="366">
        <v>0</v>
      </c>
      <c r="G548" s="3"/>
      <c r="H548" s="19"/>
      <c r="L548" s="22"/>
      <c r="M548" s="19"/>
      <c r="P548" s="22"/>
      <c r="V548" s="163"/>
      <c r="W548" s="151"/>
      <c r="Y548" s="151" t="s">
        <v>60</v>
      </c>
      <c r="Z548" s="151">
        <v>0</v>
      </c>
      <c r="AA548" s="19">
        <v>0</v>
      </c>
      <c r="AB548" s="19">
        <v>0</v>
      </c>
      <c r="AC548" s="19">
        <v>0</v>
      </c>
    </row>
    <row r="549" spans="2:29" hidden="1" x14ac:dyDescent="0.25">
      <c r="D549" s="535"/>
      <c r="F549" s="12"/>
      <c r="G549" s="3"/>
      <c r="H549" s="19"/>
      <c r="L549" s="22"/>
      <c r="M549" s="19"/>
      <c r="P549" s="22"/>
      <c r="V549" s="163"/>
      <c r="W549" s="151"/>
      <c r="AA549" s="19"/>
    </row>
    <row r="550" spans="2:29" x14ac:dyDescent="0.25">
      <c r="B550" s="533" t="s">
        <v>6</v>
      </c>
      <c r="C550" s="534">
        <f>SUM(C537:C549)</f>
        <v>4</v>
      </c>
      <c r="D550" s="536">
        <f>SUM(D537:D548)</f>
        <v>38.065593000000007</v>
      </c>
      <c r="E550" s="534">
        <f>SUM(E537:E548)</f>
        <v>1</v>
      </c>
      <c r="F550" s="436">
        <f>SUM(F537:F548)</f>
        <v>0</v>
      </c>
      <c r="G550" s="3"/>
      <c r="H550" s="19"/>
      <c r="L550" s="22"/>
      <c r="M550" s="19"/>
      <c r="P550" s="22"/>
      <c r="V550" s="163"/>
      <c r="W550" s="151"/>
      <c r="Y550" s="151" t="s">
        <v>6</v>
      </c>
      <c r="Z550" s="151">
        <v>6</v>
      </c>
      <c r="AA550" s="19">
        <v>33.311999999999998</v>
      </c>
      <c r="AB550" s="19">
        <v>1</v>
      </c>
      <c r="AC550" s="19">
        <v>25.288903999999999</v>
      </c>
    </row>
    <row r="554" spans="2:29" ht="29.5" customHeight="1" x14ac:dyDescent="0.25">
      <c r="B554" s="713" t="s">
        <v>257</v>
      </c>
      <c r="C554" s="713"/>
      <c r="D554" s="713"/>
      <c r="E554" s="600"/>
      <c r="F554" s="600"/>
      <c r="G554" s="600"/>
    </row>
    <row r="555" spans="2:29" ht="13" x14ac:dyDescent="0.25">
      <c r="B555" s="714" t="s">
        <v>490</v>
      </c>
      <c r="C555" s="676"/>
      <c r="D555" s="676"/>
      <c r="E555" s="676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2"/>
    </row>
    <row r="556" spans="2:29" ht="21.65" customHeight="1" x14ac:dyDescent="0.25">
      <c r="B556" s="714"/>
      <c r="C556" s="676"/>
      <c r="D556" s="676"/>
      <c r="E556" s="676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2"/>
    </row>
    <row r="557" spans="2:29" ht="21.65" customHeight="1" thickBot="1" x14ac:dyDescent="0.3">
      <c r="B557" s="715"/>
      <c r="C557" s="716"/>
      <c r="D557" s="716"/>
      <c r="E557" s="716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2"/>
    </row>
    <row r="558" spans="2:29" ht="25.5" customHeight="1" thickBot="1" x14ac:dyDescent="0.3">
      <c r="B558" s="595" t="s">
        <v>42</v>
      </c>
      <c r="C558" s="596" t="s">
        <v>254</v>
      </c>
      <c r="D558" s="596" t="s">
        <v>492</v>
      </c>
      <c r="E558" s="556" t="s">
        <v>255</v>
      </c>
      <c r="G558" s="19"/>
      <c r="H558" s="19"/>
      <c r="M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2:29" ht="16" customHeight="1" x14ac:dyDescent="0.25">
      <c r="B559" s="540" t="s">
        <v>44</v>
      </c>
      <c r="C559" s="621">
        <v>22</v>
      </c>
      <c r="D559" s="621">
        <v>44</v>
      </c>
      <c r="E559" s="437">
        <v>66</v>
      </c>
      <c r="G559" s="19"/>
      <c r="H559" s="19"/>
      <c r="M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2:29" ht="16" customHeight="1" x14ac:dyDescent="0.25">
      <c r="B560" s="622" t="s">
        <v>45</v>
      </c>
      <c r="C560" s="623">
        <v>0</v>
      </c>
      <c r="D560" s="623">
        <v>116</v>
      </c>
      <c r="E560" s="437">
        <v>116</v>
      </c>
      <c r="G560" s="19"/>
      <c r="H560" s="19"/>
      <c r="M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2:27" ht="16" customHeight="1" x14ac:dyDescent="0.25">
      <c r="B561" s="622" t="s">
        <v>46</v>
      </c>
      <c r="C561" s="623">
        <v>0</v>
      </c>
      <c r="D561" s="623">
        <v>0</v>
      </c>
      <c r="E561" s="437">
        <v>0</v>
      </c>
      <c r="G561" s="19"/>
      <c r="H561" s="19"/>
      <c r="M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2:27" ht="16" customHeight="1" x14ac:dyDescent="0.25">
      <c r="B562" s="622" t="s">
        <v>47</v>
      </c>
      <c r="C562" s="623">
        <v>0</v>
      </c>
      <c r="D562" s="623">
        <v>10</v>
      </c>
      <c r="E562" s="437">
        <v>10</v>
      </c>
      <c r="G562" s="19"/>
      <c r="H562" s="19"/>
      <c r="M562" s="19"/>
      <c r="Q562" s="19"/>
    </row>
    <row r="563" spans="2:27" ht="16" customHeight="1" x14ac:dyDescent="0.25">
      <c r="B563" s="622" t="s">
        <v>48</v>
      </c>
      <c r="C563" s="623">
        <v>2</v>
      </c>
      <c r="D563" s="623">
        <v>9</v>
      </c>
      <c r="E563" s="437">
        <v>11</v>
      </c>
      <c r="G563" s="19"/>
      <c r="H563" s="19"/>
      <c r="M563" s="19"/>
      <c r="Q563" s="19"/>
    </row>
    <row r="564" spans="2:27" ht="16" customHeight="1" x14ac:dyDescent="0.25">
      <c r="B564" s="622" t="s">
        <v>49</v>
      </c>
      <c r="C564" s="623">
        <v>0</v>
      </c>
      <c r="D564" s="623">
        <v>25</v>
      </c>
      <c r="E564" s="437">
        <v>25</v>
      </c>
      <c r="G564" s="19"/>
      <c r="H564" s="19"/>
      <c r="M564" s="19"/>
      <c r="Q564" s="19"/>
    </row>
    <row r="565" spans="2:27" ht="16" customHeight="1" x14ac:dyDescent="0.25">
      <c r="B565" s="622" t="s">
        <v>93</v>
      </c>
      <c r="C565" s="623">
        <v>0</v>
      </c>
      <c r="D565" s="623">
        <v>61</v>
      </c>
      <c r="E565" s="437">
        <v>61</v>
      </c>
      <c r="G565" s="19"/>
      <c r="H565" s="19"/>
      <c r="M565" s="19"/>
      <c r="Q565" s="19"/>
    </row>
    <row r="566" spans="2:27" ht="16" customHeight="1" x14ac:dyDescent="0.25">
      <c r="B566" s="622" t="s">
        <v>184</v>
      </c>
      <c r="C566" s="623">
        <v>0</v>
      </c>
      <c r="D566" s="623">
        <v>8</v>
      </c>
      <c r="E566" s="437">
        <v>8</v>
      </c>
      <c r="G566" s="19"/>
      <c r="H566" s="19"/>
      <c r="M566" s="19"/>
      <c r="Q566" s="19"/>
    </row>
    <row r="567" spans="2:27" ht="16" customHeight="1" x14ac:dyDescent="0.25">
      <c r="B567" s="622" t="s">
        <v>50</v>
      </c>
      <c r="C567" s="623">
        <v>0</v>
      </c>
      <c r="D567" s="623">
        <v>3</v>
      </c>
      <c r="E567" s="437">
        <v>3</v>
      </c>
      <c r="G567" s="19"/>
      <c r="H567" s="19"/>
      <c r="M567" s="19"/>
      <c r="Q567" s="19"/>
    </row>
    <row r="568" spans="2:27" ht="16" customHeight="1" x14ac:dyDescent="0.25">
      <c r="B568" s="622" t="s">
        <v>185</v>
      </c>
      <c r="C568" s="623">
        <v>0</v>
      </c>
      <c r="D568" s="623">
        <v>15</v>
      </c>
      <c r="E568" s="437">
        <v>15</v>
      </c>
      <c r="G568" s="19"/>
      <c r="H568" s="19"/>
      <c r="M568" s="19"/>
      <c r="Q568" s="19"/>
    </row>
    <row r="569" spans="2:27" ht="16" customHeight="1" x14ac:dyDescent="0.25">
      <c r="B569" s="622" t="s">
        <v>186</v>
      </c>
      <c r="C569" s="623">
        <v>0</v>
      </c>
      <c r="D569" s="623">
        <v>0</v>
      </c>
      <c r="E569" s="437">
        <v>0</v>
      </c>
      <c r="G569" s="19"/>
      <c r="H569" s="19"/>
      <c r="M569" s="19"/>
      <c r="Q569" s="19"/>
    </row>
    <row r="570" spans="2:27" ht="16" customHeight="1" x14ac:dyDescent="0.25">
      <c r="B570" s="622" t="s">
        <v>61</v>
      </c>
      <c r="C570" s="623">
        <v>0</v>
      </c>
      <c r="D570" s="623">
        <v>0</v>
      </c>
      <c r="E570" s="437">
        <v>0</v>
      </c>
      <c r="G570" s="19"/>
      <c r="H570" s="19"/>
      <c r="M570" s="19"/>
      <c r="Q570" s="19"/>
    </row>
    <row r="571" spans="2:27" ht="16" customHeight="1" x14ac:dyDescent="0.25">
      <c r="B571" s="622" t="s">
        <v>187</v>
      </c>
      <c r="C571" s="623">
        <v>0</v>
      </c>
      <c r="D571" s="623">
        <v>3</v>
      </c>
      <c r="E571" s="437">
        <v>3</v>
      </c>
      <c r="G571" s="19"/>
      <c r="H571" s="19"/>
      <c r="M571" s="19"/>
      <c r="Q571" s="19"/>
    </row>
    <row r="572" spans="2:27" ht="16" customHeight="1" x14ac:dyDescent="0.25">
      <c r="B572" s="622" t="s">
        <v>188</v>
      </c>
      <c r="C572" s="623">
        <v>0</v>
      </c>
      <c r="D572" s="623">
        <v>2</v>
      </c>
      <c r="E572" s="437">
        <v>2</v>
      </c>
      <c r="G572" s="19"/>
      <c r="H572" s="19"/>
      <c r="M572" s="19"/>
      <c r="Q572" s="19"/>
    </row>
    <row r="573" spans="2:27" ht="16" customHeight="1" x14ac:dyDescent="0.25">
      <c r="B573" s="622" t="s">
        <v>102</v>
      </c>
      <c r="C573" s="623">
        <v>0</v>
      </c>
      <c r="D573" s="623">
        <v>4</v>
      </c>
      <c r="E573" s="437">
        <v>4</v>
      </c>
      <c r="G573" s="19"/>
      <c r="H573" s="19"/>
      <c r="M573" s="19"/>
      <c r="Q573" s="19"/>
    </row>
    <row r="574" spans="2:27" ht="16" customHeight="1" x14ac:dyDescent="0.25">
      <c r="B574" s="622" t="s">
        <v>115</v>
      </c>
      <c r="C574" s="623">
        <v>0</v>
      </c>
      <c r="D574" s="623">
        <v>0</v>
      </c>
      <c r="E574" s="437">
        <v>0</v>
      </c>
      <c r="G574" s="19"/>
      <c r="H574" s="19"/>
      <c r="M574" s="19"/>
      <c r="Q574" s="19"/>
    </row>
    <row r="575" spans="2:27" ht="16" customHeight="1" x14ac:dyDescent="0.25">
      <c r="B575" s="622" t="s">
        <v>216</v>
      </c>
      <c r="C575" s="623">
        <v>0</v>
      </c>
      <c r="D575" s="623">
        <v>0</v>
      </c>
      <c r="E575" s="437">
        <v>0</v>
      </c>
      <c r="G575" s="19"/>
      <c r="H575" s="19"/>
      <c r="M575" s="19"/>
      <c r="Q575" s="19"/>
    </row>
    <row r="576" spans="2:27" ht="16" customHeight="1" x14ac:dyDescent="0.25">
      <c r="B576" s="622" t="s">
        <v>189</v>
      </c>
      <c r="C576" s="623">
        <v>0</v>
      </c>
      <c r="D576" s="623">
        <v>0</v>
      </c>
      <c r="E576" s="437">
        <v>0</v>
      </c>
      <c r="G576" s="19"/>
      <c r="H576" s="19"/>
      <c r="M576" s="19"/>
      <c r="Q576" s="19"/>
    </row>
    <row r="577" spans="2:17" ht="16" customHeight="1" x14ac:dyDescent="0.25">
      <c r="B577" s="622" t="s">
        <v>98</v>
      </c>
      <c r="C577" s="623">
        <v>0</v>
      </c>
      <c r="D577" s="623">
        <v>0</v>
      </c>
      <c r="E577" s="437">
        <v>0</v>
      </c>
      <c r="G577" s="19"/>
      <c r="H577" s="19"/>
      <c r="M577" s="19"/>
      <c r="Q577" s="19"/>
    </row>
    <row r="578" spans="2:17" ht="16" customHeight="1" x14ac:dyDescent="0.25">
      <c r="B578" s="622" t="s">
        <v>164</v>
      </c>
      <c r="C578" s="623">
        <v>0</v>
      </c>
      <c r="D578" s="623">
        <v>0</v>
      </c>
      <c r="E578" s="437">
        <v>0</v>
      </c>
      <c r="G578" s="19"/>
      <c r="H578" s="19"/>
      <c r="M578" s="19"/>
      <c r="Q578" s="19"/>
    </row>
    <row r="579" spans="2:17" ht="16" customHeight="1" x14ac:dyDescent="0.25">
      <c r="B579" s="622" t="s">
        <v>179</v>
      </c>
      <c r="C579" s="623">
        <v>0</v>
      </c>
      <c r="D579" s="623">
        <v>0</v>
      </c>
      <c r="E579" s="437">
        <v>0</v>
      </c>
      <c r="G579" s="19"/>
      <c r="H579" s="19"/>
      <c r="M579" s="19"/>
      <c r="Q579" s="19"/>
    </row>
    <row r="580" spans="2:17" ht="16" customHeight="1" x14ac:dyDescent="0.25">
      <c r="B580" s="622" t="s">
        <v>202</v>
      </c>
      <c r="C580" s="623">
        <v>0</v>
      </c>
      <c r="D580" s="623">
        <v>0</v>
      </c>
      <c r="E580" s="437">
        <v>0</v>
      </c>
      <c r="G580" s="19"/>
      <c r="H580" s="19"/>
      <c r="M580" s="19"/>
      <c r="Q580" s="19"/>
    </row>
    <row r="581" spans="2:17" ht="16" customHeight="1" x14ac:dyDescent="0.25">
      <c r="B581" s="622" t="s">
        <v>200</v>
      </c>
      <c r="C581" s="623">
        <v>5</v>
      </c>
      <c r="D581" s="623">
        <v>26</v>
      </c>
      <c r="E581" s="437">
        <v>31</v>
      </c>
      <c r="G581" s="19"/>
      <c r="H581" s="19"/>
      <c r="M581" s="19"/>
      <c r="Q581" s="19"/>
    </row>
    <row r="582" spans="2:17" ht="16" customHeight="1" x14ac:dyDescent="0.25">
      <c r="B582" s="622" t="s">
        <v>180</v>
      </c>
      <c r="C582" s="623">
        <v>6</v>
      </c>
      <c r="D582" s="623">
        <v>0</v>
      </c>
      <c r="E582" s="437">
        <v>6</v>
      </c>
      <c r="G582" s="19"/>
      <c r="H582" s="19"/>
      <c r="M582" s="19"/>
      <c r="Q582" s="19"/>
    </row>
    <row r="583" spans="2:17" ht="16" customHeight="1" x14ac:dyDescent="0.25">
      <c r="B583" s="624" t="s">
        <v>287</v>
      </c>
      <c r="C583" s="623">
        <v>0</v>
      </c>
      <c r="D583" s="623">
        <v>0</v>
      </c>
      <c r="E583" s="437">
        <v>0</v>
      </c>
      <c r="G583" s="19"/>
      <c r="H583" s="19"/>
      <c r="M583" s="19"/>
      <c r="Q583" s="19"/>
    </row>
    <row r="584" spans="2:17" ht="16" customHeight="1" x14ac:dyDescent="0.25">
      <c r="B584" s="624" t="s">
        <v>126</v>
      </c>
      <c r="C584" s="625">
        <v>0</v>
      </c>
      <c r="D584" s="625">
        <v>0</v>
      </c>
      <c r="E584" s="437">
        <v>0</v>
      </c>
      <c r="G584" s="19"/>
      <c r="H584" s="19"/>
      <c r="M584" s="19"/>
      <c r="Q584" s="19"/>
    </row>
    <row r="585" spans="2:17" ht="16" customHeight="1" x14ac:dyDescent="0.25">
      <c r="B585" s="624" t="s">
        <v>327</v>
      </c>
      <c r="C585" s="625">
        <v>0</v>
      </c>
      <c r="D585" s="625">
        <v>9</v>
      </c>
      <c r="E585" s="437">
        <v>9</v>
      </c>
      <c r="G585" s="19"/>
      <c r="H585" s="19"/>
      <c r="M585" s="19"/>
      <c r="Q585" s="19"/>
    </row>
    <row r="586" spans="2:17" ht="13" x14ac:dyDescent="0.3">
      <c r="B586" s="626" t="s">
        <v>256</v>
      </c>
      <c r="C586" s="627">
        <v>35</v>
      </c>
      <c r="D586" s="627">
        <v>335</v>
      </c>
      <c r="E586" s="124">
        <v>370</v>
      </c>
      <c r="G586" s="19"/>
      <c r="H586" s="19"/>
      <c r="M586" s="19"/>
      <c r="Q586" s="19"/>
    </row>
    <row r="587" spans="2:17" ht="13" hidden="1" x14ac:dyDescent="0.25">
      <c r="B587" s="598"/>
      <c r="C587" s="599"/>
      <c r="D587" s="599"/>
      <c r="E587" s="599"/>
      <c r="F587" s="601"/>
      <c r="G587" s="601"/>
      <c r="H587" s="601"/>
      <c r="I587" s="601"/>
      <c r="J587" s="601"/>
      <c r="K587" s="601"/>
      <c r="L587" s="601"/>
      <c r="M587" s="601"/>
      <c r="N587" s="602"/>
      <c r="O587" s="602"/>
    </row>
    <row r="588" spans="2:17" x14ac:dyDescent="0.25">
      <c r="M588" s="23"/>
    </row>
    <row r="589" spans="2:17" ht="23.15" customHeight="1" x14ac:dyDescent="0.25">
      <c r="B589" s="717" t="s">
        <v>491</v>
      </c>
      <c r="C589" s="676"/>
      <c r="D589" s="676"/>
      <c r="E589" s="676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151"/>
    </row>
    <row r="590" spans="2:17" ht="23.15" customHeight="1" thickBot="1" x14ac:dyDescent="0.3">
      <c r="B590" s="718"/>
      <c r="C590" s="716"/>
      <c r="D590" s="716"/>
      <c r="E590" s="716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151"/>
    </row>
    <row r="591" spans="2:17" ht="25.5" customHeight="1" thickBot="1" x14ac:dyDescent="0.3">
      <c r="B591" s="595" t="s">
        <v>42</v>
      </c>
      <c r="C591" s="596" t="s">
        <v>254</v>
      </c>
      <c r="D591" s="596" t="s">
        <v>492</v>
      </c>
      <c r="E591" s="596" t="s">
        <v>255</v>
      </c>
      <c r="G591" s="19"/>
      <c r="H591" s="19"/>
      <c r="M591" s="19"/>
      <c r="Q591" s="19"/>
    </row>
    <row r="592" spans="2:17" ht="16" customHeight="1" x14ac:dyDescent="0.25">
      <c r="B592" s="540" t="s">
        <v>44</v>
      </c>
      <c r="C592" s="438">
        <v>8</v>
      </c>
      <c r="D592" s="438">
        <v>7</v>
      </c>
      <c r="E592" s="438">
        <v>15</v>
      </c>
      <c r="G592" s="19"/>
      <c r="H592" s="19"/>
      <c r="M592" s="19"/>
      <c r="Q592" s="19"/>
    </row>
    <row r="593" spans="2:17" ht="16" customHeight="1" x14ac:dyDescent="0.25">
      <c r="B593" s="622" t="s">
        <v>45</v>
      </c>
      <c r="C593" s="438">
        <v>90</v>
      </c>
      <c r="D593" s="438">
        <v>158</v>
      </c>
      <c r="E593" s="438">
        <v>248</v>
      </c>
      <c r="G593" s="19"/>
      <c r="H593" s="19"/>
      <c r="M593" s="19"/>
      <c r="Q593" s="19"/>
    </row>
    <row r="594" spans="2:17" ht="16" customHeight="1" x14ac:dyDescent="0.25">
      <c r="B594" s="622" t="s">
        <v>46</v>
      </c>
      <c r="C594" s="438">
        <v>1</v>
      </c>
      <c r="D594" s="438">
        <v>3</v>
      </c>
      <c r="E594" s="438">
        <v>4</v>
      </c>
      <c r="G594" s="19"/>
      <c r="H594" s="19"/>
      <c r="M594" s="19"/>
      <c r="Q594" s="19"/>
    </row>
    <row r="595" spans="2:17" ht="16" customHeight="1" x14ac:dyDescent="0.25">
      <c r="B595" s="622" t="s">
        <v>47</v>
      </c>
      <c r="C595" s="438">
        <v>3</v>
      </c>
      <c r="D595" s="438">
        <v>154</v>
      </c>
      <c r="E595" s="438">
        <v>157</v>
      </c>
      <c r="G595" s="19"/>
      <c r="H595" s="19"/>
      <c r="M595" s="19"/>
      <c r="Q595" s="19"/>
    </row>
    <row r="596" spans="2:17" ht="16" customHeight="1" x14ac:dyDescent="0.25">
      <c r="B596" s="622" t="s">
        <v>48</v>
      </c>
      <c r="C596" s="438">
        <v>0</v>
      </c>
      <c r="D596" s="438">
        <v>0</v>
      </c>
      <c r="E596" s="438">
        <v>0</v>
      </c>
      <c r="G596" s="19"/>
      <c r="H596" s="19"/>
      <c r="M596" s="19"/>
      <c r="Q596" s="19"/>
    </row>
    <row r="597" spans="2:17" ht="16" customHeight="1" x14ac:dyDescent="0.25">
      <c r="B597" s="622" t="s">
        <v>49</v>
      </c>
      <c r="C597" s="438">
        <v>1</v>
      </c>
      <c r="D597" s="438">
        <v>2</v>
      </c>
      <c r="E597" s="438">
        <v>3</v>
      </c>
      <c r="G597" s="19"/>
      <c r="H597" s="19"/>
      <c r="M597" s="19"/>
      <c r="Q597" s="19"/>
    </row>
    <row r="598" spans="2:17" ht="16" customHeight="1" x14ac:dyDescent="0.25">
      <c r="B598" s="622" t="s">
        <v>93</v>
      </c>
      <c r="C598" s="438">
        <v>15</v>
      </c>
      <c r="D598" s="438">
        <v>16</v>
      </c>
      <c r="E598" s="438">
        <v>31</v>
      </c>
      <c r="G598" s="19"/>
      <c r="H598" s="19"/>
      <c r="M598" s="19"/>
      <c r="Q598" s="19"/>
    </row>
    <row r="599" spans="2:17" ht="16" customHeight="1" x14ac:dyDescent="0.25">
      <c r="B599" s="622" t="s">
        <v>184</v>
      </c>
      <c r="C599" s="438">
        <v>1</v>
      </c>
      <c r="D599" s="438">
        <v>93</v>
      </c>
      <c r="E599" s="438">
        <v>94</v>
      </c>
      <c r="G599" s="19"/>
      <c r="H599" s="19"/>
      <c r="M599" s="19"/>
      <c r="Q599" s="19"/>
    </row>
    <row r="600" spans="2:17" ht="16" customHeight="1" x14ac:dyDescent="0.25">
      <c r="B600" s="622" t="s">
        <v>50</v>
      </c>
      <c r="C600" s="438">
        <v>4</v>
      </c>
      <c r="D600" s="438">
        <v>4</v>
      </c>
      <c r="E600" s="438">
        <v>8</v>
      </c>
      <c r="G600" s="19"/>
      <c r="H600" s="19"/>
      <c r="M600" s="19"/>
      <c r="Q600" s="19"/>
    </row>
    <row r="601" spans="2:17" ht="16" customHeight="1" x14ac:dyDescent="0.25">
      <c r="B601" s="622" t="s">
        <v>185</v>
      </c>
      <c r="C601" s="438">
        <v>1</v>
      </c>
      <c r="D601" s="438">
        <v>2</v>
      </c>
      <c r="E601" s="438">
        <v>3</v>
      </c>
      <c r="G601" s="19"/>
      <c r="H601" s="19"/>
      <c r="M601" s="19"/>
      <c r="Q601" s="19"/>
    </row>
    <row r="602" spans="2:17" ht="16" customHeight="1" x14ac:dyDescent="0.25">
      <c r="B602" s="622" t="s">
        <v>186</v>
      </c>
      <c r="C602" s="438">
        <v>0</v>
      </c>
      <c r="D602" s="438">
        <v>0</v>
      </c>
      <c r="E602" s="438">
        <v>0</v>
      </c>
      <c r="G602" s="19"/>
      <c r="H602" s="19"/>
      <c r="M602" s="19"/>
      <c r="Q602" s="19"/>
    </row>
    <row r="603" spans="2:17" ht="16" customHeight="1" x14ac:dyDescent="0.25">
      <c r="B603" s="622" t="s">
        <v>61</v>
      </c>
      <c r="C603" s="438">
        <v>0</v>
      </c>
      <c r="D603" s="438">
        <v>0</v>
      </c>
      <c r="E603" s="438">
        <v>0</v>
      </c>
      <c r="G603" s="19"/>
      <c r="H603" s="19"/>
      <c r="M603" s="19"/>
      <c r="Q603" s="19"/>
    </row>
    <row r="604" spans="2:17" ht="16" customHeight="1" x14ac:dyDescent="0.25">
      <c r="B604" s="622" t="s">
        <v>187</v>
      </c>
      <c r="C604" s="438">
        <v>0</v>
      </c>
      <c r="D604" s="438">
        <v>0</v>
      </c>
      <c r="E604" s="438">
        <v>0</v>
      </c>
      <c r="G604" s="19"/>
      <c r="H604" s="19"/>
      <c r="M604" s="19"/>
      <c r="Q604" s="19"/>
    </row>
    <row r="605" spans="2:17" ht="16" customHeight="1" x14ac:dyDescent="0.25">
      <c r="B605" s="622" t="s">
        <v>188</v>
      </c>
      <c r="C605" s="438">
        <v>0</v>
      </c>
      <c r="D605" s="438">
        <v>0</v>
      </c>
      <c r="E605" s="438">
        <v>0</v>
      </c>
      <c r="G605" s="19"/>
      <c r="H605" s="19"/>
      <c r="M605" s="19"/>
      <c r="Q605" s="19"/>
    </row>
    <row r="606" spans="2:17" ht="16" customHeight="1" x14ac:dyDescent="0.25">
      <c r="B606" s="622" t="s">
        <v>102</v>
      </c>
      <c r="C606" s="438">
        <v>6</v>
      </c>
      <c r="D606" s="438">
        <v>4</v>
      </c>
      <c r="E606" s="438">
        <v>10</v>
      </c>
      <c r="G606" s="19"/>
      <c r="H606" s="19"/>
      <c r="M606" s="19"/>
      <c r="Q606" s="19"/>
    </row>
    <row r="607" spans="2:17" ht="16" customHeight="1" x14ac:dyDescent="0.25">
      <c r="B607" s="622" t="s">
        <v>115</v>
      </c>
      <c r="C607" s="438">
        <v>0</v>
      </c>
      <c r="D607" s="438">
        <v>0</v>
      </c>
      <c r="E607" s="438">
        <v>0</v>
      </c>
      <c r="G607" s="19"/>
      <c r="H607" s="19"/>
      <c r="M607" s="19"/>
      <c r="Q607" s="19"/>
    </row>
    <row r="608" spans="2:17" ht="16" customHeight="1" x14ac:dyDescent="0.25">
      <c r="B608" s="622" t="s">
        <v>216</v>
      </c>
      <c r="C608" s="438">
        <v>0</v>
      </c>
      <c r="D608" s="438">
        <v>0</v>
      </c>
      <c r="E608" s="438">
        <v>0</v>
      </c>
      <c r="G608" s="19"/>
      <c r="H608" s="19"/>
      <c r="M608" s="19"/>
      <c r="Q608" s="19"/>
    </row>
    <row r="609" spans="2:27" ht="16" customHeight="1" x14ac:dyDescent="0.25">
      <c r="B609" s="622" t="s">
        <v>189</v>
      </c>
      <c r="C609" s="438">
        <v>0</v>
      </c>
      <c r="D609" s="438">
        <v>0</v>
      </c>
      <c r="E609" s="438">
        <v>0</v>
      </c>
      <c r="G609" s="19"/>
      <c r="H609" s="19"/>
      <c r="M609" s="19"/>
      <c r="Q609" s="19"/>
    </row>
    <row r="610" spans="2:27" ht="16" customHeight="1" x14ac:dyDescent="0.25">
      <c r="B610" s="622" t="s">
        <v>98</v>
      </c>
      <c r="C610" s="438">
        <v>0</v>
      </c>
      <c r="D610" s="438">
        <v>0</v>
      </c>
      <c r="E610" s="438">
        <v>0</v>
      </c>
      <c r="G610" s="19"/>
      <c r="H610" s="19"/>
      <c r="M610" s="19"/>
      <c r="Q610" s="19"/>
    </row>
    <row r="611" spans="2:27" ht="16" customHeight="1" x14ac:dyDescent="0.25">
      <c r="B611" s="622" t="s">
        <v>164</v>
      </c>
      <c r="C611" s="438">
        <v>0</v>
      </c>
      <c r="D611" s="438">
        <v>0</v>
      </c>
      <c r="E611" s="438">
        <v>0</v>
      </c>
      <c r="G611" s="19"/>
      <c r="H611" s="19"/>
      <c r="M611" s="19"/>
      <c r="Q611" s="19"/>
    </row>
    <row r="612" spans="2:27" ht="16" customHeight="1" x14ac:dyDescent="0.25">
      <c r="B612" s="622" t="s">
        <v>179</v>
      </c>
      <c r="C612" s="438">
        <v>0</v>
      </c>
      <c r="D612" s="438">
        <v>0</v>
      </c>
      <c r="E612" s="438">
        <v>0</v>
      </c>
      <c r="G612" s="19"/>
      <c r="H612" s="19"/>
      <c r="M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2:27" ht="16" customHeight="1" x14ac:dyDescent="0.25">
      <c r="B613" s="622" t="s">
        <v>202</v>
      </c>
      <c r="C613" s="438">
        <v>0</v>
      </c>
      <c r="D613" s="438">
        <v>0</v>
      </c>
      <c r="E613" s="438">
        <v>0</v>
      </c>
      <c r="G613" s="19"/>
      <c r="H613" s="19"/>
      <c r="M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2:27" ht="16" customHeight="1" x14ac:dyDescent="0.25">
      <c r="B614" s="622" t="s">
        <v>200</v>
      </c>
      <c r="C614" s="438">
        <v>2</v>
      </c>
      <c r="D614" s="438">
        <v>0</v>
      </c>
      <c r="E614" s="438">
        <v>2</v>
      </c>
      <c r="G614" s="19"/>
      <c r="H614" s="19"/>
      <c r="M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2:27" ht="16" customHeight="1" x14ac:dyDescent="0.25">
      <c r="B615" s="622" t="s">
        <v>180</v>
      </c>
      <c r="C615" s="438">
        <v>5</v>
      </c>
      <c r="D615" s="438">
        <v>13</v>
      </c>
      <c r="E615" s="438">
        <v>18</v>
      </c>
      <c r="G615" s="19"/>
      <c r="H615" s="19"/>
      <c r="M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2:27" ht="16" customHeight="1" x14ac:dyDescent="0.25">
      <c r="B616" s="622" t="s">
        <v>126</v>
      </c>
      <c r="C616" s="438">
        <v>0</v>
      </c>
      <c r="D616" s="438">
        <v>0</v>
      </c>
      <c r="E616" s="438">
        <v>0</v>
      </c>
      <c r="G616" s="19"/>
      <c r="H616" s="19"/>
      <c r="M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2:27" ht="16" customHeight="1" x14ac:dyDescent="0.25">
      <c r="B617" s="622" t="s">
        <v>327</v>
      </c>
      <c r="C617" s="438">
        <v>0</v>
      </c>
      <c r="D617" s="438">
        <v>0</v>
      </c>
      <c r="E617" s="438">
        <v>0</v>
      </c>
      <c r="G617" s="19"/>
      <c r="H617" s="19"/>
      <c r="M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2:27" ht="16" customHeight="1" x14ac:dyDescent="0.25">
      <c r="B618" s="626" t="s">
        <v>256</v>
      </c>
      <c r="C618" s="628">
        <v>137</v>
      </c>
      <c r="D618" s="628">
        <v>456</v>
      </c>
      <c r="E618" s="628">
        <v>593</v>
      </c>
      <c r="G618" s="19"/>
      <c r="H618" s="19"/>
      <c r="M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2:27" x14ac:dyDescent="0.25">
      <c r="E619" s="151"/>
      <c r="F619" s="151"/>
      <c r="G619" s="151"/>
      <c r="H619" s="151"/>
      <c r="I619" s="151"/>
      <c r="J619" s="151"/>
      <c r="K619" s="151"/>
      <c r="L619" s="151"/>
      <c r="M619" s="151"/>
      <c r="N619" s="151"/>
      <c r="O619" s="151"/>
    </row>
    <row r="623" spans="2:27" ht="18.649999999999999" customHeight="1" x14ac:dyDescent="0.25">
      <c r="B623" s="660" t="s">
        <v>267</v>
      </c>
      <c r="C623" s="660"/>
      <c r="D623" s="660"/>
      <c r="E623" s="660"/>
      <c r="F623" s="660"/>
      <c r="G623" s="660"/>
    </row>
    <row r="624" spans="2:27" x14ac:dyDescent="0.25">
      <c r="D624" s="2"/>
      <c r="F624" s="12"/>
      <c r="G624" s="3"/>
      <c r="H624" s="19"/>
      <c r="L624" s="22"/>
      <c r="M624" s="19"/>
      <c r="P624" s="22"/>
      <c r="V624" s="163"/>
      <c r="W624" s="151"/>
      <c r="AA624" s="19"/>
    </row>
    <row r="625" spans="2:28" x14ac:dyDescent="0.25">
      <c r="D625" s="2"/>
      <c r="F625" s="12"/>
      <c r="G625" s="3"/>
      <c r="H625" s="19"/>
      <c r="L625" s="22"/>
      <c r="M625" s="19"/>
      <c r="P625" s="22"/>
      <c r="V625" s="163"/>
      <c r="W625" s="151"/>
      <c r="AA625" s="19"/>
    </row>
    <row r="626" spans="2:28" x14ac:dyDescent="0.35">
      <c r="B626" s="425" t="s">
        <v>28</v>
      </c>
      <c r="C626" s="369" t="s">
        <v>258</v>
      </c>
      <c r="D626" s="423" t="s">
        <v>259</v>
      </c>
      <c r="E626" s="386"/>
      <c r="F626" s="12"/>
      <c r="G626" s="3"/>
      <c r="H626" s="19"/>
      <c r="L626" s="22"/>
      <c r="M626" s="19"/>
      <c r="P626" s="22"/>
      <c r="V626" s="163"/>
      <c r="W626" s="151"/>
      <c r="X626" s="362"/>
      <c r="Z626" s="352" t="s">
        <v>28</v>
      </c>
      <c r="AA626" s="352" t="s">
        <v>5</v>
      </c>
      <c r="AB626" s="352" t="s">
        <v>218</v>
      </c>
    </row>
    <row r="627" spans="2:28" x14ac:dyDescent="0.35">
      <c r="B627" s="420" t="s">
        <v>59</v>
      </c>
      <c r="C627" s="368">
        <v>1511</v>
      </c>
      <c r="D627" s="368">
        <v>143</v>
      </c>
      <c r="E627" s="375"/>
      <c r="F627" s="161"/>
      <c r="G627" s="3"/>
      <c r="H627" s="19"/>
      <c r="L627" s="22"/>
      <c r="M627" s="19"/>
      <c r="P627" s="22"/>
      <c r="V627" s="163"/>
      <c r="W627" s="362">
        <f>C627/C641</f>
        <v>0.91354292623941957</v>
      </c>
      <c r="X627" s="362">
        <f>D627/C641</f>
        <v>8.6457073760580413E-2</v>
      </c>
      <c r="Y627" s="164"/>
      <c r="Z627" s="353" t="s">
        <v>250</v>
      </c>
      <c r="AA627" s="3">
        <v>614</v>
      </c>
      <c r="AB627" s="3">
        <v>68</v>
      </c>
    </row>
    <row r="628" spans="2:28" hidden="1" x14ac:dyDescent="0.35">
      <c r="B628" s="420" t="s">
        <v>32</v>
      </c>
      <c r="C628" s="368">
        <v>0</v>
      </c>
      <c r="D628" s="368">
        <v>0</v>
      </c>
      <c r="E628" s="375"/>
      <c r="F628" s="161"/>
      <c r="G628" s="3"/>
      <c r="H628" s="19"/>
      <c r="L628" s="22"/>
      <c r="M628" s="19"/>
      <c r="P628" s="22"/>
      <c r="V628" s="163"/>
      <c r="W628" s="361">
        <f>C628/C641</f>
        <v>0</v>
      </c>
      <c r="X628" s="362">
        <f>D628/C641</f>
        <v>0</v>
      </c>
      <c r="Z628" s="353" t="s">
        <v>251</v>
      </c>
      <c r="AA628" s="3">
        <v>1296</v>
      </c>
      <c r="AB628" s="3">
        <v>125</v>
      </c>
    </row>
    <row r="629" spans="2:28" hidden="1" x14ac:dyDescent="0.35">
      <c r="B629" s="420" t="s">
        <v>33</v>
      </c>
      <c r="C629" s="368">
        <v>0</v>
      </c>
      <c r="D629" s="368">
        <v>0</v>
      </c>
      <c r="E629" s="375"/>
      <c r="F629" s="161"/>
      <c r="G629" s="3"/>
      <c r="H629" s="19"/>
      <c r="L629" s="22"/>
      <c r="M629" s="19"/>
      <c r="P629" s="22"/>
      <c r="V629" s="163"/>
      <c r="W629" s="361">
        <f>C629/C641</f>
        <v>0</v>
      </c>
      <c r="X629" s="362">
        <f>D629/C641</f>
        <v>0</v>
      </c>
      <c r="Z629" s="353" t="s">
        <v>252</v>
      </c>
      <c r="AA629" s="3">
        <v>949</v>
      </c>
      <c r="AB629" s="3">
        <v>92</v>
      </c>
    </row>
    <row r="630" spans="2:28" hidden="1" x14ac:dyDescent="0.35">
      <c r="B630" s="420" t="s">
        <v>34</v>
      </c>
      <c r="C630" s="368">
        <v>0</v>
      </c>
      <c r="D630" s="368">
        <v>0</v>
      </c>
      <c r="E630" s="375"/>
      <c r="F630" s="161"/>
      <c r="G630" s="3"/>
      <c r="H630" s="19"/>
      <c r="L630" s="22"/>
      <c r="M630" s="19"/>
      <c r="P630" s="22"/>
      <c r="V630" s="163"/>
      <c r="W630" s="361">
        <f>C630/C641</f>
        <v>0</v>
      </c>
      <c r="X630" s="362">
        <f>D630/C641</f>
        <v>0</v>
      </c>
      <c r="Z630" s="353" t="s">
        <v>253</v>
      </c>
      <c r="AA630" s="3">
        <v>712</v>
      </c>
      <c r="AB630" s="3">
        <v>58</v>
      </c>
    </row>
    <row r="631" spans="2:28" hidden="1" x14ac:dyDescent="0.35">
      <c r="B631" s="420" t="s">
        <v>35</v>
      </c>
      <c r="C631" s="368">
        <v>0</v>
      </c>
      <c r="D631" s="368">
        <v>0</v>
      </c>
      <c r="E631" s="375"/>
      <c r="F631" s="161"/>
      <c r="G631" s="3"/>
      <c r="H631" s="19"/>
      <c r="L631" s="22"/>
      <c r="M631" s="19"/>
      <c r="P631" s="22"/>
      <c r="V631" s="163"/>
      <c r="W631" s="361">
        <f>C631/C641</f>
        <v>0</v>
      </c>
      <c r="X631" s="362">
        <f>D631/C641</f>
        <v>0</v>
      </c>
      <c r="Z631" s="360" t="s">
        <v>262</v>
      </c>
      <c r="AA631" s="3">
        <v>955</v>
      </c>
      <c r="AB631" s="3">
        <v>88</v>
      </c>
    </row>
    <row r="632" spans="2:28" hidden="1" x14ac:dyDescent="0.35">
      <c r="B632" s="420" t="s">
        <v>31</v>
      </c>
      <c r="C632" s="368">
        <v>0</v>
      </c>
      <c r="D632" s="368">
        <v>0</v>
      </c>
      <c r="E632" s="400"/>
      <c r="F632" s="12"/>
      <c r="G632" s="3"/>
      <c r="H632" s="19"/>
      <c r="L632" s="22"/>
      <c r="M632" s="19"/>
      <c r="P632" s="22"/>
      <c r="V632" s="163"/>
      <c r="W632" s="121">
        <f>C632/C641</f>
        <v>0</v>
      </c>
      <c r="X632" s="362">
        <f>D632/C641</f>
        <v>0</v>
      </c>
      <c r="Z632" s="360" t="s">
        <v>266</v>
      </c>
      <c r="AA632" s="354">
        <v>1224</v>
      </c>
      <c r="AB632" s="355">
        <v>125</v>
      </c>
    </row>
    <row r="633" spans="2:28" hidden="1" x14ac:dyDescent="0.35">
      <c r="B633" s="420" t="s">
        <v>36</v>
      </c>
      <c r="C633" s="368">
        <v>0</v>
      </c>
      <c r="D633" s="368">
        <v>0</v>
      </c>
      <c r="E633" s="400"/>
      <c r="F633" s="12"/>
      <c r="G633" s="3"/>
      <c r="H633" s="19"/>
      <c r="L633" s="22"/>
      <c r="M633" s="19"/>
      <c r="P633" s="22"/>
      <c r="V633" s="163"/>
      <c r="W633" s="121">
        <f>+C633/C641</f>
        <v>0</v>
      </c>
      <c r="X633" s="362">
        <f>+D633/C641</f>
        <v>0</v>
      </c>
      <c r="Z633" s="353" t="s">
        <v>222</v>
      </c>
      <c r="AA633" s="354"/>
      <c r="AB633" s="355"/>
    </row>
    <row r="634" spans="2:28" hidden="1" x14ac:dyDescent="0.35">
      <c r="B634" s="420" t="s">
        <v>37</v>
      </c>
      <c r="C634" s="368">
        <v>0</v>
      </c>
      <c r="D634" s="368">
        <v>0</v>
      </c>
      <c r="E634" s="400"/>
      <c r="F634" s="12"/>
      <c r="G634" s="3"/>
      <c r="H634" s="19"/>
      <c r="L634" s="22"/>
      <c r="M634" s="19"/>
      <c r="P634" s="22"/>
      <c r="V634" s="163"/>
      <c r="W634" s="121">
        <f>+C634/C641</f>
        <v>0</v>
      </c>
      <c r="X634" s="362">
        <f>+D634/C641</f>
        <v>0</v>
      </c>
      <c r="Z634" s="353" t="s">
        <v>223</v>
      </c>
      <c r="AA634" s="354"/>
      <c r="AB634" s="355"/>
    </row>
    <row r="635" spans="2:28" hidden="1" x14ac:dyDescent="0.35">
      <c r="B635" s="420" t="s">
        <v>38</v>
      </c>
      <c r="C635" s="368">
        <v>0</v>
      </c>
      <c r="D635" s="368">
        <v>0</v>
      </c>
      <c r="E635" s="400"/>
      <c r="F635" s="12"/>
      <c r="G635" s="3"/>
      <c r="H635" s="19"/>
      <c r="L635" s="22"/>
      <c r="M635" s="19"/>
      <c r="P635" s="22"/>
      <c r="V635" s="163"/>
      <c r="W635" s="121">
        <f>+C635/C641</f>
        <v>0</v>
      </c>
      <c r="X635" s="362">
        <f>+D635/C641</f>
        <v>0</v>
      </c>
      <c r="Z635" s="353" t="s">
        <v>224</v>
      </c>
      <c r="AA635" s="354"/>
      <c r="AB635" s="355"/>
    </row>
    <row r="636" spans="2:28" hidden="1" x14ac:dyDescent="0.35">
      <c r="B636" s="420" t="s">
        <v>39</v>
      </c>
      <c r="C636" s="368">
        <v>0</v>
      </c>
      <c r="D636" s="368">
        <v>0</v>
      </c>
      <c r="E636" s="400"/>
      <c r="F636" s="12"/>
      <c r="G636" s="3"/>
      <c r="H636" s="19"/>
      <c r="L636" s="22"/>
      <c r="M636" s="19"/>
      <c r="P636" s="22"/>
      <c r="V636" s="163"/>
      <c r="W636" s="121">
        <f>+C636/C641</f>
        <v>0</v>
      </c>
      <c r="X636" s="362">
        <f>+D636/C641</f>
        <v>0</v>
      </c>
      <c r="Z636" s="353" t="s">
        <v>225</v>
      </c>
      <c r="AA636" s="354"/>
      <c r="AB636" s="355"/>
    </row>
    <row r="637" spans="2:28" hidden="1" x14ac:dyDescent="0.35">
      <c r="B637" s="420" t="s">
        <v>40</v>
      </c>
      <c r="C637" s="368">
        <v>0</v>
      </c>
      <c r="D637" s="368">
        <v>0</v>
      </c>
      <c r="E637" s="400"/>
      <c r="F637" s="12"/>
      <c r="G637" s="3"/>
      <c r="H637" s="19"/>
      <c r="L637" s="22"/>
      <c r="M637" s="19"/>
      <c r="P637" s="22"/>
      <c r="V637" s="163"/>
      <c r="W637" s="151"/>
      <c r="X637" s="362"/>
      <c r="Z637" s="353" t="s">
        <v>226</v>
      </c>
      <c r="AA637" s="354"/>
      <c r="AB637" s="355"/>
    </row>
    <row r="638" spans="2:28" hidden="1" x14ac:dyDescent="0.35">
      <c r="B638" s="420" t="s">
        <v>60</v>
      </c>
      <c r="C638" s="368">
        <v>0</v>
      </c>
      <c r="D638" s="368">
        <v>0</v>
      </c>
      <c r="E638" s="400"/>
      <c r="F638" s="12"/>
      <c r="G638" s="3"/>
      <c r="H638" s="19"/>
      <c r="L638" s="22"/>
      <c r="M638" s="19"/>
      <c r="P638" s="22"/>
      <c r="V638" s="163"/>
      <c r="W638" s="151"/>
      <c r="X638" s="362"/>
      <c r="Z638" s="353" t="s">
        <v>227</v>
      </c>
      <c r="AA638" s="354"/>
      <c r="AB638" s="355"/>
    </row>
    <row r="639" spans="2:28" hidden="1" x14ac:dyDescent="0.25">
      <c r="B639" s="404"/>
      <c r="E639" s="404"/>
      <c r="F639" s="12"/>
      <c r="G639" s="3"/>
      <c r="H639" s="19"/>
      <c r="L639" s="22"/>
      <c r="M639" s="19"/>
      <c r="P639" s="22"/>
      <c r="V639" s="163"/>
      <c r="W639" s="151"/>
      <c r="X639" s="362"/>
      <c r="Z639" s="305"/>
      <c r="AA639" s="306"/>
      <c r="AB639" s="307"/>
    </row>
    <row r="640" spans="2:28" x14ac:dyDescent="0.25">
      <c r="B640" s="429" t="s">
        <v>6</v>
      </c>
      <c r="C640" s="369">
        <f>SUM(C627:C639)</f>
        <v>1511</v>
      </c>
      <c r="D640" s="537">
        <f>SUM(D627:D639)</f>
        <v>143</v>
      </c>
      <c r="E640" s="491"/>
      <c r="F640" s="12"/>
      <c r="G640" s="3"/>
      <c r="H640" s="19"/>
      <c r="L640" s="22"/>
      <c r="M640" s="19"/>
      <c r="P640" s="22"/>
      <c r="V640" s="163"/>
      <c r="W640" s="362"/>
      <c r="X640" s="362"/>
      <c r="Z640" s="305" t="s">
        <v>228</v>
      </c>
      <c r="AA640" s="308"/>
      <c r="AB640" s="309"/>
    </row>
    <row r="641" spans="2:29" x14ac:dyDescent="0.25">
      <c r="B641" s="538" t="s">
        <v>263</v>
      </c>
      <c r="C641" s="539">
        <f>C640+D640</f>
        <v>1654</v>
      </c>
      <c r="D641" s="539"/>
      <c r="X641" s="363">
        <f>+C640/C641</f>
        <v>0.91354292623941957</v>
      </c>
      <c r="Y641" s="364">
        <f>+D640/C641</f>
        <v>8.6457073760580413E-2</v>
      </c>
      <c r="AA641" s="169"/>
      <c r="AB641" s="169">
        <f>SUM(AA627:AA640)</f>
        <v>5750</v>
      </c>
      <c r="AC641" s="169">
        <f>SUM(AB627:AB640)</f>
        <v>556</v>
      </c>
    </row>
    <row r="642" spans="2:29" x14ac:dyDescent="0.25">
      <c r="C642" s="375"/>
      <c r="D642" s="375"/>
      <c r="E642" s="384"/>
    </row>
  </sheetData>
  <mergeCells count="113">
    <mergeCell ref="K171:L171"/>
    <mergeCell ref="B554:D554"/>
    <mergeCell ref="B623:G623"/>
    <mergeCell ref="G456:J456"/>
    <mergeCell ref="G455:J455"/>
    <mergeCell ref="G423:J423"/>
    <mergeCell ref="G424:J424"/>
    <mergeCell ref="B534:F534"/>
    <mergeCell ref="B330:E332"/>
    <mergeCell ref="B555:E557"/>
    <mergeCell ref="B589:E590"/>
    <mergeCell ref="M340:N340"/>
    <mergeCell ref="F340:H340"/>
    <mergeCell ref="K339:N339"/>
    <mergeCell ref="J457:J458"/>
    <mergeCell ref="D457:D458"/>
    <mergeCell ref="E457:E458"/>
    <mergeCell ref="B457:B458"/>
    <mergeCell ref="C457:C458"/>
    <mergeCell ref="B520:B521"/>
    <mergeCell ref="B487:F487"/>
    <mergeCell ref="B517:E518"/>
    <mergeCell ref="B424:E424"/>
    <mergeCell ref="B423:E423"/>
    <mergeCell ref="B456:E456"/>
    <mergeCell ref="B455:E455"/>
    <mergeCell ref="C340:E340"/>
    <mergeCell ref="A421:E421"/>
    <mergeCell ref="C77:E77"/>
    <mergeCell ref="B166:E166"/>
    <mergeCell ref="B167:E167"/>
    <mergeCell ref="B148:E150"/>
    <mergeCell ref="X243:AA243"/>
    <mergeCell ref="I457:I458"/>
    <mergeCell ref="H457:H458"/>
    <mergeCell ref="G457:G458"/>
    <mergeCell ref="C520:D520"/>
    <mergeCell ref="E520:F520"/>
    <mergeCell ref="Q338:Q339"/>
    <mergeCell ref="X338:Y338"/>
    <mergeCell ref="D425:D426"/>
    <mergeCell ref="E425:E426"/>
    <mergeCell ref="H425:H426"/>
    <mergeCell ref="I425:I426"/>
    <mergeCell ref="J425:J426"/>
    <mergeCell ref="G425:G426"/>
    <mergeCell ref="B337:E337"/>
    <mergeCell ref="K340:L340"/>
    <mergeCell ref="B425:B426"/>
    <mergeCell ref="C425:C426"/>
    <mergeCell ref="C339:H339"/>
    <mergeCell ref="B266:G266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B169:E169"/>
    <mergeCell ref="B241:E241"/>
    <mergeCell ref="F241:H241"/>
    <mergeCell ref="C208:D208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B287:E287"/>
    <mergeCell ref="AC243:AF243"/>
    <mergeCell ref="E243:F243"/>
    <mergeCell ref="C243:D243"/>
    <mergeCell ref="I171:J171"/>
    <mergeCell ref="A1:M1"/>
    <mergeCell ref="A2:M2"/>
    <mergeCell ref="A3:M3"/>
    <mergeCell ref="A4:M4"/>
    <mergeCell ref="B111:E111"/>
    <mergeCell ref="B125:E125"/>
    <mergeCell ref="B139:E139"/>
    <mergeCell ref="B156:E156"/>
    <mergeCell ref="B29:E29"/>
    <mergeCell ref="B11:E11"/>
    <mergeCell ref="B49:E49"/>
    <mergeCell ref="B83:E83"/>
    <mergeCell ref="B97:E97"/>
    <mergeCell ref="B66:E66"/>
    <mergeCell ref="B76:E76"/>
    <mergeCell ref="C78:E78"/>
    <mergeCell ref="X67:Z67"/>
    <mergeCell ref="W85:Y85"/>
    <mergeCell ref="W97:Y98"/>
    <mergeCell ref="C79:E79"/>
  </mergeCells>
  <phoneticPr fontId="294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9" max="16" man="1"/>
    <brk id="419" max="16" man="1"/>
    <brk id="486" max="16" man="1"/>
    <brk id="55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383"/>
  <sheetViews>
    <sheetView topLeftCell="A367" zoomScale="90" zoomScaleNormal="90" workbookViewId="0">
      <selection activeCell="I234" sqref="I234:I383"/>
    </sheetView>
  </sheetViews>
  <sheetFormatPr baseColWidth="10" defaultColWidth="11.453125" defaultRowHeight="14.5" x14ac:dyDescent="0.35"/>
  <cols>
    <col min="1" max="2" width="11.453125" style="311"/>
    <col min="3" max="3" width="20.26953125" style="311" customWidth="1"/>
    <col min="4" max="4" width="25.453125" style="311" customWidth="1"/>
    <col min="5" max="5" width="31.453125" style="311" customWidth="1"/>
    <col min="6" max="6" width="15.81640625" style="311" customWidth="1"/>
    <col min="7" max="7" width="16.453125" style="311" bestFit="1" customWidth="1"/>
    <col min="8" max="9" width="11.453125" style="311"/>
    <col min="10" max="11" width="0" style="311" hidden="1" customWidth="1"/>
    <col min="12" max="16384" width="11.453125" style="311"/>
  </cols>
  <sheetData>
    <row r="1" spans="2:10" x14ac:dyDescent="0.35">
      <c r="B1" s="310" t="s">
        <v>68</v>
      </c>
      <c r="C1" s="310" t="s">
        <v>229</v>
      </c>
      <c r="D1" s="310" t="s">
        <v>230</v>
      </c>
      <c r="E1" s="310" t="s">
        <v>231</v>
      </c>
      <c r="F1" s="310" t="s">
        <v>175</v>
      </c>
      <c r="G1" s="310" t="s">
        <v>176</v>
      </c>
      <c r="H1" s="310" t="s">
        <v>177</v>
      </c>
      <c r="I1" s="310" t="s">
        <v>178</v>
      </c>
      <c r="J1" s="310"/>
    </row>
    <row r="2" spans="2:10" x14ac:dyDescent="0.35">
      <c r="B2" s="356">
        <v>4</v>
      </c>
      <c r="C2" s="356" t="s">
        <v>83</v>
      </c>
      <c r="D2" s="356" t="s">
        <v>377</v>
      </c>
      <c r="E2" s="356" t="s">
        <v>377</v>
      </c>
      <c r="F2" s="356">
        <v>9201000</v>
      </c>
      <c r="G2" s="356">
        <v>33429000</v>
      </c>
      <c r="H2" s="356">
        <v>1</v>
      </c>
      <c r="I2" s="356"/>
      <c r="J2" s="311">
        <v>1</v>
      </c>
    </row>
    <row r="3" spans="2:10" x14ac:dyDescent="0.35">
      <c r="B3" s="356">
        <v>4</v>
      </c>
      <c r="C3" s="356" t="s">
        <v>83</v>
      </c>
      <c r="D3" s="356" t="s">
        <v>340</v>
      </c>
      <c r="E3" s="356" t="s">
        <v>341</v>
      </c>
      <c r="F3" s="356">
        <v>9188000</v>
      </c>
      <c r="G3" s="356">
        <v>31118000</v>
      </c>
      <c r="H3" s="356">
        <v>1</v>
      </c>
      <c r="I3" s="356"/>
      <c r="J3" s="311">
        <v>1</v>
      </c>
    </row>
    <row r="4" spans="2:10" x14ac:dyDescent="0.35">
      <c r="B4" s="356">
        <v>4</v>
      </c>
      <c r="C4" s="356" t="s">
        <v>83</v>
      </c>
      <c r="D4" s="356" t="s">
        <v>359</v>
      </c>
      <c r="E4" s="356" t="s">
        <v>378</v>
      </c>
      <c r="F4" s="356">
        <v>8329000</v>
      </c>
      <c r="G4" s="356">
        <v>34818000</v>
      </c>
      <c r="H4" s="356">
        <v>1</v>
      </c>
      <c r="I4" s="356"/>
      <c r="J4" s="311">
        <v>2</v>
      </c>
    </row>
    <row r="5" spans="2:10" x14ac:dyDescent="0.35">
      <c r="B5" s="356">
        <v>4</v>
      </c>
      <c r="C5" s="356" t="s">
        <v>83</v>
      </c>
      <c r="D5" s="356" t="s">
        <v>76</v>
      </c>
      <c r="E5" s="356" t="s">
        <v>343</v>
      </c>
      <c r="F5" s="356">
        <v>9085000</v>
      </c>
      <c r="G5" s="356">
        <v>41155000</v>
      </c>
      <c r="H5" s="356">
        <v>1</v>
      </c>
      <c r="I5" s="356"/>
      <c r="J5" s="311">
        <v>2</v>
      </c>
    </row>
    <row r="6" spans="2:10" x14ac:dyDescent="0.35">
      <c r="B6" s="356">
        <v>4</v>
      </c>
      <c r="C6" s="356" t="s">
        <v>83</v>
      </c>
      <c r="D6" s="356" t="s">
        <v>89</v>
      </c>
      <c r="E6" s="356" t="s">
        <v>69</v>
      </c>
      <c r="F6" s="356">
        <v>9018000</v>
      </c>
      <c r="G6" s="356">
        <v>29363333.333333299</v>
      </c>
      <c r="H6" s="356">
        <v>3</v>
      </c>
      <c r="I6" s="356"/>
      <c r="J6" s="311">
        <v>1</v>
      </c>
    </row>
    <row r="7" spans="2:10" x14ac:dyDescent="0.35">
      <c r="B7" s="356">
        <v>4</v>
      </c>
      <c r="C7" s="356" t="s">
        <v>11</v>
      </c>
      <c r="D7" s="356" t="s">
        <v>11</v>
      </c>
      <c r="E7" s="356" t="s">
        <v>377</v>
      </c>
      <c r="F7" s="356">
        <v>7909000</v>
      </c>
      <c r="G7" s="356">
        <v>45909000</v>
      </c>
      <c r="H7" s="356">
        <v>1</v>
      </c>
      <c r="I7" s="356"/>
      <c r="J7" s="311">
        <v>1</v>
      </c>
    </row>
    <row r="8" spans="2:10" x14ac:dyDescent="0.35">
      <c r="B8" s="356">
        <v>4</v>
      </c>
      <c r="C8" s="356" t="s">
        <v>11</v>
      </c>
      <c r="D8" s="356" t="s">
        <v>379</v>
      </c>
      <c r="E8" s="356" t="s">
        <v>365</v>
      </c>
      <c r="F8" s="356">
        <v>8028000</v>
      </c>
      <c r="G8" s="356">
        <v>27801750</v>
      </c>
      <c r="H8" s="356">
        <v>2</v>
      </c>
      <c r="I8" s="356"/>
      <c r="J8" s="311">
        <v>3</v>
      </c>
    </row>
    <row r="9" spans="2:10" x14ac:dyDescent="0.35">
      <c r="B9" s="356">
        <v>4</v>
      </c>
      <c r="C9" s="356" t="s">
        <v>11</v>
      </c>
      <c r="D9" s="356" t="s">
        <v>362</v>
      </c>
      <c r="E9" s="356" t="s">
        <v>362</v>
      </c>
      <c r="F9" s="356">
        <v>7951000</v>
      </c>
      <c r="G9" s="356">
        <v>42290000</v>
      </c>
      <c r="H9" s="356">
        <v>1</v>
      </c>
      <c r="I9" s="356"/>
      <c r="J9" s="311">
        <v>1</v>
      </c>
    </row>
    <row r="10" spans="2:10" x14ac:dyDescent="0.35">
      <c r="B10" s="356">
        <v>4</v>
      </c>
      <c r="C10" s="356" t="s">
        <v>11</v>
      </c>
      <c r="D10" s="356" t="s">
        <v>77</v>
      </c>
      <c r="E10" s="356" t="s">
        <v>78</v>
      </c>
      <c r="F10" s="356">
        <v>9260000</v>
      </c>
      <c r="G10" s="356">
        <v>19904119.899999999</v>
      </c>
      <c r="H10" s="356">
        <v>1</v>
      </c>
      <c r="I10" s="356"/>
      <c r="J10" s="311">
        <v>2</v>
      </c>
    </row>
    <row r="11" spans="2:10" x14ac:dyDescent="0.35">
      <c r="B11" s="356">
        <v>4</v>
      </c>
      <c r="C11" s="356" t="s">
        <v>12</v>
      </c>
      <c r="D11" s="356" t="s">
        <v>12</v>
      </c>
      <c r="E11" s="356" t="s">
        <v>380</v>
      </c>
      <c r="F11" s="356">
        <v>9195000</v>
      </c>
      <c r="G11" s="356">
        <v>20958868.190000001</v>
      </c>
      <c r="H11" s="356">
        <v>1</v>
      </c>
      <c r="I11" s="356"/>
      <c r="J11" s="311">
        <v>1</v>
      </c>
    </row>
    <row r="12" spans="2:10" x14ac:dyDescent="0.35">
      <c r="B12" s="356">
        <v>4</v>
      </c>
      <c r="C12" s="356" t="s">
        <v>12</v>
      </c>
      <c r="D12" s="356" t="s">
        <v>12</v>
      </c>
      <c r="E12" s="356" t="s">
        <v>381</v>
      </c>
      <c r="F12" s="356">
        <v>6860000</v>
      </c>
      <c r="G12" s="356">
        <v>65890201.039999999</v>
      </c>
      <c r="H12" s="356">
        <v>1</v>
      </c>
      <c r="I12" s="356"/>
      <c r="J12" s="311">
        <v>4</v>
      </c>
    </row>
    <row r="13" spans="2:10" x14ac:dyDescent="0.35">
      <c r="B13" s="356">
        <v>4</v>
      </c>
      <c r="C13" s="356" t="s">
        <v>12</v>
      </c>
      <c r="D13" s="356" t="s">
        <v>12</v>
      </c>
      <c r="E13" s="356" t="s">
        <v>382</v>
      </c>
      <c r="F13" s="356">
        <v>7322000</v>
      </c>
      <c r="G13" s="356">
        <v>47400000</v>
      </c>
      <c r="H13" s="356">
        <v>1</v>
      </c>
      <c r="I13" s="356"/>
      <c r="J13" s="311">
        <v>1</v>
      </c>
    </row>
    <row r="14" spans="2:10" x14ac:dyDescent="0.35">
      <c r="B14" s="356">
        <v>4</v>
      </c>
      <c r="C14" s="356" t="s">
        <v>12</v>
      </c>
      <c r="D14" s="356" t="s">
        <v>237</v>
      </c>
      <c r="E14" s="356" t="s">
        <v>237</v>
      </c>
      <c r="F14" s="356">
        <v>7531500</v>
      </c>
      <c r="G14" s="356">
        <v>38426867.880000003</v>
      </c>
      <c r="H14" s="356">
        <v>2</v>
      </c>
      <c r="I14" s="356"/>
      <c r="J14" s="311">
        <v>1</v>
      </c>
    </row>
    <row r="15" spans="2:10" x14ac:dyDescent="0.35">
      <c r="B15" s="356">
        <v>4</v>
      </c>
      <c r="C15" s="356" t="s">
        <v>12</v>
      </c>
      <c r="D15" s="356" t="s">
        <v>237</v>
      </c>
      <c r="E15" s="356" t="s">
        <v>383</v>
      </c>
      <c r="F15" s="356">
        <v>7755333.3333333302</v>
      </c>
      <c r="G15" s="356">
        <v>37436000</v>
      </c>
      <c r="H15" s="356">
        <v>3</v>
      </c>
      <c r="I15" s="356"/>
      <c r="J15" s="311">
        <v>1</v>
      </c>
    </row>
    <row r="16" spans="2:10" x14ac:dyDescent="0.35">
      <c r="B16" s="356">
        <v>4</v>
      </c>
      <c r="C16" s="356" t="s">
        <v>12</v>
      </c>
      <c r="D16" s="356" t="s">
        <v>384</v>
      </c>
      <c r="E16" s="356" t="s">
        <v>385</v>
      </c>
      <c r="F16" s="356">
        <v>8959000</v>
      </c>
      <c r="G16" s="356">
        <v>24159112.739999998</v>
      </c>
      <c r="H16" s="356">
        <v>1</v>
      </c>
      <c r="I16" s="356"/>
      <c r="J16" s="311">
        <v>1</v>
      </c>
    </row>
    <row r="17" spans="2:10" x14ac:dyDescent="0.35">
      <c r="B17" s="356">
        <v>4</v>
      </c>
      <c r="C17" s="356" t="s">
        <v>12</v>
      </c>
      <c r="D17" s="356" t="s">
        <v>72</v>
      </c>
      <c r="E17" s="356" t="s">
        <v>298</v>
      </c>
      <c r="F17" s="356">
        <v>9267000</v>
      </c>
      <c r="G17" s="356">
        <v>21500000</v>
      </c>
      <c r="H17" s="356">
        <v>1</v>
      </c>
      <c r="I17" s="356"/>
      <c r="J17" s="311">
        <v>1</v>
      </c>
    </row>
    <row r="18" spans="2:10" x14ac:dyDescent="0.35">
      <c r="B18" s="356">
        <v>4</v>
      </c>
      <c r="C18" s="356" t="s">
        <v>12</v>
      </c>
      <c r="D18" s="356" t="s">
        <v>386</v>
      </c>
      <c r="E18" s="356" t="s">
        <v>387</v>
      </c>
      <c r="F18" s="356">
        <v>7531500</v>
      </c>
      <c r="G18" s="356">
        <v>34444359.090000004</v>
      </c>
      <c r="H18" s="356">
        <v>2</v>
      </c>
      <c r="I18" s="356"/>
      <c r="J18" s="311">
        <v>1</v>
      </c>
    </row>
    <row r="19" spans="2:10" x14ac:dyDescent="0.35">
      <c r="B19" s="356">
        <v>4</v>
      </c>
      <c r="C19" s="356" t="s">
        <v>12</v>
      </c>
      <c r="D19" s="356" t="s">
        <v>388</v>
      </c>
      <c r="E19" s="356" t="s">
        <v>365</v>
      </c>
      <c r="F19" s="356">
        <v>8539000</v>
      </c>
      <c r="G19" s="356">
        <v>46949000</v>
      </c>
      <c r="H19" s="356">
        <v>1</v>
      </c>
      <c r="I19" s="356"/>
      <c r="J19" s="311">
        <v>2</v>
      </c>
    </row>
    <row r="20" spans="2:10" x14ac:dyDescent="0.35">
      <c r="B20" s="356">
        <v>4</v>
      </c>
      <c r="C20" s="356" t="s">
        <v>13</v>
      </c>
      <c r="D20" s="356" t="s">
        <v>13</v>
      </c>
      <c r="E20" s="356" t="s">
        <v>389</v>
      </c>
      <c r="F20" s="356">
        <v>7196000</v>
      </c>
      <c r="G20" s="356">
        <v>57300000</v>
      </c>
      <c r="H20" s="356">
        <v>1</v>
      </c>
      <c r="I20" s="356"/>
      <c r="J20" s="311">
        <v>1</v>
      </c>
    </row>
    <row r="21" spans="2:10" x14ac:dyDescent="0.35">
      <c r="B21" s="356">
        <v>4</v>
      </c>
      <c r="C21" s="356" t="s">
        <v>13</v>
      </c>
      <c r="D21" s="356" t="s">
        <v>86</v>
      </c>
      <c r="E21" s="356" t="s">
        <v>280</v>
      </c>
      <c r="F21" s="356">
        <v>9221000</v>
      </c>
      <c r="G21" s="356">
        <v>21071445.469999999</v>
      </c>
      <c r="H21" s="356">
        <v>1</v>
      </c>
      <c r="I21" s="356"/>
      <c r="J21" s="311">
        <v>1</v>
      </c>
    </row>
    <row r="22" spans="2:10" x14ac:dyDescent="0.35">
      <c r="B22" s="356">
        <v>4</v>
      </c>
      <c r="C22" s="356" t="s">
        <v>63</v>
      </c>
      <c r="D22" s="356" t="s">
        <v>294</v>
      </c>
      <c r="E22" s="356" t="s">
        <v>390</v>
      </c>
      <c r="F22" s="356">
        <v>9254000</v>
      </c>
      <c r="G22" s="356">
        <v>18904000</v>
      </c>
      <c r="H22" s="356">
        <v>1</v>
      </c>
      <c r="I22" s="356"/>
      <c r="J22" s="311">
        <v>1</v>
      </c>
    </row>
    <row r="23" spans="2:10" x14ac:dyDescent="0.35">
      <c r="B23" s="356">
        <v>4</v>
      </c>
      <c r="C23" s="356" t="s">
        <v>63</v>
      </c>
      <c r="D23" s="356" t="s">
        <v>332</v>
      </c>
      <c r="E23" s="356" t="s">
        <v>391</v>
      </c>
      <c r="F23" s="356">
        <v>7909000</v>
      </c>
      <c r="G23" s="356">
        <v>45109000</v>
      </c>
      <c r="H23" s="356">
        <v>1</v>
      </c>
      <c r="I23" s="356"/>
      <c r="J23" s="311">
        <v>1</v>
      </c>
    </row>
    <row r="24" spans="2:10" x14ac:dyDescent="0.35">
      <c r="B24" s="356">
        <v>4</v>
      </c>
      <c r="C24" s="356" t="s">
        <v>64</v>
      </c>
      <c r="D24" s="356" t="s">
        <v>64</v>
      </c>
      <c r="E24" s="356" t="s">
        <v>392</v>
      </c>
      <c r="F24" s="356">
        <v>6881000</v>
      </c>
      <c r="G24" s="356">
        <v>25185040.329999998</v>
      </c>
      <c r="H24" s="356">
        <v>2</v>
      </c>
      <c r="I24" s="356"/>
      <c r="J24" s="311">
        <v>2</v>
      </c>
    </row>
    <row r="25" spans="2:10" x14ac:dyDescent="0.35">
      <c r="B25" s="356">
        <v>4</v>
      </c>
      <c r="C25" s="356" t="s">
        <v>64</v>
      </c>
      <c r="D25" s="356" t="s">
        <v>336</v>
      </c>
      <c r="E25" s="356" t="s">
        <v>337</v>
      </c>
      <c r="F25" s="356">
        <v>9214000</v>
      </c>
      <c r="G25" s="356">
        <v>27120000</v>
      </c>
      <c r="H25" s="356">
        <v>1</v>
      </c>
      <c r="I25" s="356"/>
      <c r="J25" s="311">
        <v>1</v>
      </c>
    </row>
    <row r="26" spans="2:10" x14ac:dyDescent="0.35">
      <c r="B26" s="356">
        <v>4</v>
      </c>
      <c r="C26" s="356" t="s">
        <v>85</v>
      </c>
      <c r="D26" s="356" t="s">
        <v>85</v>
      </c>
      <c r="E26" s="356" t="s">
        <v>85</v>
      </c>
      <c r="F26" s="356">
        <v>9085000</v>
      </c>
      <c r="G26" s="356">
        <v>23185000</v>
      </c>
      <c r="H26" s="356">
        <v>1</v>
      </c>
      <c r="I26" s="356"/>
      <c r="J26" s="311">
        <v>1</v>
      </c>
    </row>
    <row r="27" spans="2:10" x14ac:dyDescent="0.35">
      <c r="B27" s="356">
        <v>4</v>
      </c>
      <c r="C27" s="356" t="s">
        <v>85</v>
      </c>
      <c r="D27" s="356" t="s">
        <v>87</v>
      </c>
      <c r="E27" s="356" t="s">
        <v>91</v>
      </c>
      <c r="F27" s="356">
        <v>7405500</v>
      </c>
      <c r="G27" s="356">
        <v>25922242.225000001</v>
      </c>
      <c r="H27" s="356">
        <v>2</v>
      </c>
      <c r="I27" s="356"/>
      <c r="J27" s="311">
        <v>1</v>
      </c>
    </row>
    <row r="28" spans="2:10" x14ac:dyDescent="0.35">
      <c r="B28" s="356">
        <v>4</v>
      </c>
      <c r="C28" s="356" t="s">
        <v>85</v>
      </c>
      <c r="D28" s="356" t="s">
        <v>87</v>
      </c>
      <c r="E28" s="356" t="s">
        <v>281</v>
      </c>
      <c r="F28" s="356">
        <v>7977333.3333333302</v>
      </c>
      <c r="G28" s="356">
        <v>25167367.9766667</v>
      </c>
      <c r="H28" s="356">
        <v>3</v>
      </c>
      <c r="I28" s="356"/>
      <c r="J28" s="311">
        <v>1</v>
      </c>
    </row>
    <row r="29" spans="2:10" x14ac:dyDescent="0.35">
      <c r="B29" s="356">
        <v>4</v>
      </c>
      <c r="C29" s="356" t="s">
        <v>85</v>
      </c>
      <c r="D29" s="356" t="s">
        <v>87</v>
      </c>
      <c r="E29" s="356" t="s">
        <v>66</v>
      </c>
      <c r="F29" s="356">
        <v>9254000</v>
      </c>
      <c r="G29" s="356">
        <v>21459000</v>
      </c>
      <c r="H29" s="356">
        <v>1</v>
      </c>
      <c r="I29" s="356"/>
      <c r="J29" s="311">
        <v>4</v>
      </c>
    </row>
    <row r="30" spans="2:10" x14ac:dyDescent="0.35">
      <c r="B30" s="356">
        <v>4</v>
      </c>
      <c r="C30" s="356" t="s">
        <v>85</v>
      </c>
      <c r="D30" s="356" t="s">
        <v>87</v>
      </c>
      <c r="E30" s="356" t="s">
        <v>75</v>
      </c>
      <c r="F30" s="356">
        <v>9175000</v>
      </c>
      <c r="G30" s="356">
        <v>23734000</v>
      </c>
      <c r="H30" s="356">
        <v>1</v>
      </c>
      <c r="I30" s="356"/>
      <c r="J30" s="311">
        <v>1</v>
      </c>
    </row>
    <row r="31" spans="2:10" x14ac:dyDescent="0.35">
      <c r="B31" s="356">
        <v>4</v>
      </c>
      <c r="C31" s="356" t="s">
        <v>85</v>
      </c>
      <c r="D31" s="356" t="s">
        <v>87</v>
      </c>
      <c r="E31" s="356" t="s">
        <v>67</v>
      </c>
      <c r="F31" s="356">
        <v>9241000</v>
      </c>
      <c r="G31" s="356">
        <v>20791000</v>
      </c>
      <c r="H31" s="356">
        <v>1</v>
      </c>
      <c r="I31" s="356"/>
      <c r="J31" s="311">
        <v>1</v>
      </c>
    </row>
    <row r="32" spans="2:10" x14ac:dyDescent="0.35">
      <c r="B32" s="356">
        <v>4</v>
      </c>
      <c r="C32" s="356" t="s">
        <v>85</v>
      </c>
      <c r="D32" s="356" t="s">
        <v>393</v>
      </c>
      <c r="E32" s="356" t="s">
        <v>394</v>
      </c>
      <c r="F32" s="356">
        <v>7657000</v>
      </c>
      <c r="G32" s="356">
        <v>28371516.780000001</v>
      </c>
      <c r="H32" s="356">
        <v>1</v>
      </c>
      <c r="I32" s="356"/>
      <c r="J32" s="311">
        <v>1</v>
      </c>
    </row>
    <row r="33" spans="2:10" x14ac:dyDescent="0.35">
      <c r="B33" s="356">
        <v>4</v>
      </c>
      <c r="C33" s="356" t="s">
        <v>85</v>
      </c>
      <c r="D33" s="356" t="s">
        <v>274</v>
      </c>
      <c r="E33" s="356" t="s">
        <v>307</v>
      </c>
      <c r="F33" s="356">
        <v>9267000</v>
      </c>
      <c r="G33" s="356">
        <v>18621000</v>
      </c>
      <c r="H33" s="356">
        <v>1</v>
      </c>
      <c r="I33" s="356"/>
      <c r="J33" s="311">
        <v>1</v>
      </c>
    </row>
    <row r="34" spans="2:10" x14ac:dyDescent="0.35">
      <c r="B34" s="356">
        <v>4</v>
      </c>
      <c r="C34" s="356" t="s">
        <v>85</v>
      </c>
      <c r="D34" s="356" t="s">
        <v>274</v>
      </c>
      <c r="E34" s="356" t="s">
        <v>357</v>
      </c>
      <c r="F34" s="356">
        <v>9247000</v>
      </c>
      <c r="G34" s="356">
        <v>18752000</v>
      </c>
      <c r="H34" s="356">
        <v>1</v>
      </c>
      <c r="I34" s="356"/>
      <c r="J34" s="311">
        <v>1</v>
      </c>
    </row>
    <row r="35" spans="2:10" x14ac:dyDescent="0.35">
      <c r="B35" s="356">
        <v>22</v>
      </c>
      <c r="C35" s="356" t="s">
        <v>83</v>
      </c>
      <c r="D35" s="356" t="s">
        <v>395</v>
      </c>
      <c r="E35" s="356" t="s">
        <v>396</v>
      </c>
      <c r="F35" s="356">
        <v>6818000</v>
      </c>
      <c r="G35" s="356">
        <v>53754000</v>
      </c>
      <c r="H35" s="356">
        <v>1</v>
      </c>
      <c r="I35" s="356"/>
      <c r="J35" s="311">
        <v>1</v>
      </c>
    </row>
    <row r="36" spans="2:10" x14ac:dyDescent="0.35">
      <c r="B36" s="356">
        <v>22</v>
      </c>
      <c r="C36" s="356" t="s">
        <v>83</v>
      </c>
      <c r="D36" s="356" t="s">
        <v>89</v>
      </c>
      <c r="E36" s="356" t="s">
        <v>346</v>
      </c>
      <c r="F36" s="356">
        <v>7447500</v>
      </c>
      <c r="G36" s="356">
        <v>41572846.844999999</v>
      </c>
      <c r="H36" s="356">
        <v>2</v>
      </c>
      <c r="I36" s="356"/>
      <c r="J36" s="311">
        <v>1</v>
      </c>
    </row>
    <row r="37" spans="2:10" x14ac:dyDescent="0.35">
      <c r="B37" s="356">
        <v>22</v>
      </c>
      <c r="C37" s="356" t="s">
        <v>83</v>
      </c>
      <c r="D37" s="356" t="s">
        <v>89</v>
      </c>
      <c r="E37" s="356" t="s">
        <v>69</v>
      </c>
      <c r="F37" s="356">
        <v>7741500</v>
      </c>
      <c r="G37" s="356">
        <v>24930000</v>
      </c>
      <c r="H37" s="356">
        <v>2</v>
      </c>
      <c r="I37" s="356"/>
      <c r="J37" s="311">
        <v>1</v>
      </c>
    </row>
    <row r="38" spans="2:10" x14ac:dyDescent="0.35">
      <c r="B38" s="356">
        <v>22</v>
      </c>
      <c r="C38" s="356" t="s">
        <v>11</v>
      </c>
      <c r="D38" s="356" t="s">
        <v>70</v>
      </c>
      <c r="E38" s="356" t="s">
        <v>70</v>
      </c>
      <c r="F38" s="356">
        <v>9221000</v>
      </c>
      <c r="G38" s="356">
        <v>20421000</v>
      </c>
      <c r="H38" s="356">
        <v>1</v>
      </c>
      <c r="I38" s="356"/>
      <c r="J38" s="311">
        <v>1</v>
      </c>
    </row>
    <row r="39" spans="2:10" x14ac:dyDescent="0.35">
      <c r="B39" s="356">
        <v>22</v>
      </c>
      <c r="C39" s="356" t="s">
        <v>12</v>
      </c>
      <c r="D39" s="356" t="s">
        <v>12</v>
      </c>
      <c r="E39" s="356" t="s">
        <v>380</v>
      </c>
      <c r="F39" s="356">
        <v>7741000</v>
      </c>
      <c r="G39" s="356">
        <v>58191000</v>
      </c>
      <c r="H39" s="356">
        <v>1</v>
      </c>
      <c r="I39" s="356"/>
      <c r="J39" s="311">
        <v>1</v>
      </c>
    </row>
    <row r="40" spans="2:10" x14ac:dyDescent="0.35">
      <c r="B40" s="356">
        <v>22</v>
      </c>
      <c r="C40" s="356" t="s">
        <v>13</v>
      </c>
      <c r="D40" s="356" t="s">
        <v>311</v>
      </c>
      <c r="E40" s="356" t="s">
        <v>311</v>
      </c>
      <c r="F40" s="356">
        <v>7951000</v>
      </c>
      <c r="G40" s="356">
        <v>38750000</v>
      </c>
      <c r="H40" s="356">
        <v>1</v>
      </c>
      <c r="I40" s="356"/>
      <c r="J40" s="311">
        <v>1</v>
      </c>
    </row>
    <row r="41" spans="2:10" x14ac:dyDescent="0.35">
      <c r="B41" s="356">
        <v>22</v>
      </c>
      <c r="C41" s="356" t="s">
        <v>13</v>
      </c>
      <c r="D41" s="356" t="s">
        <v>86</v>
      </c>
      <c r="E41" s="356" t="s">
        <v>293</v>
      </c>
      <c r="F41" s="356">
        <v>7657000</v>
      </c>
      <c r="G41" s="356">
        <v>45757003</v>
      </c>
      <c r="H41" s="356">
        <v>1</v>
      </c>
      <c r="I41" s="356"/>
      <c r="J41" s="311">
        <v>1</v>
      </c>
    </row>
    <row r="42" spans="2:10" x14ac:dyDescent="0.35">
      <c r="B42" s="356">
        <v>22</v>
      </c>
      <c r="C42" s="356" t="s">
        <v>64</v>
      </c>
      <c r="D42" s="356" t="s">
        <v>62</v>
      </c>
      <c r="E42" s="356" t="s">
        <v>397</v>
      </c>
      <c r="F42" s="356">
        <v>9208000</v>
      </c>
      <c r="G42" s="356">
        <v>21208000</v>
      </c>
      <c r="H42" s="356">
        <v>1</v>
      </c>
      <c r="I42" s="356"/>
      <c r="J42" s="311">
        <v>2</v>
      </c>
    </row>
    <row r="43" spans="2:10" x14ac:dyDescent="0.35">
      <c r="B43" s="356">
        <v>26</v>
      </c>
      <c r="C43" s="356" t="s">
        <v>83</v>
      </c>
      <c r="D43" s="356" t="s">
        <v>340</v>
      </c>
      <c r="E43" s="356" t="s">
        <v>341</v>
      </c>
      <c r="F43" s="356">
        <v>7448000</v>
      </c>
      <c r="G43" s="356">
        <v>31256641.32</v>
      </c>
      <c r="H43" s="356">
        <v>1</v>
      </c>
      <c r="I43" s="356"/>
      <c r="J43" s="311">
        <v>1</v>
      </c>
    </row>
    <row r="44" spans="2:10" x14ac:dyDescent="0.35">
      <c r="B44" s="356">
        <v>26</v>
      </c>
      <c r="C44" s="356" t="s">
        <v>83</v>
      </c>
      <c r="D44" s="356" t="s">
        <v>359</v>
      </c>
      <c r="E44" s="356" t="s">
        <v>359</v>
      </c>
      <c r="F44" s="356">
        <v>8917000</v>
      </c>
      <c r="G44" s="356">
        <v>22501410.920000002</v>
      </c>
      <c r="H44" s="356">
        <v>1</v>
      </c>
      <c r="I44" s="356"/>
      <c r="J44" s="311">
        <v>1</v>
      </c>
    </row>
    <row r="45" spans="2:10" x14ac:dyDescent="0.35">
      <c r="B45" s="356">
        <v>26</v>
      </c>
      <c r="C45" s="356" t="s">
        <v>11</v>
      </c>
      <c r="D45" s="356" t="s">
        <v>11</v>
      </c>
      <c r="E45" s="356" t="s">
        <v>377</v>
      </c>
      <c r="F45" s="356">
        <v>7280000</v>
      </c>
      <c r="G45" s="356">
        <v>46272257.960000001</v>
      </c>
      <c r="H45" s="356">
        <v>1</v>
      </c>
      <c r="I45" s="356"/>
      <c r="J45" s="311">
        <v>1</v>
      </c>
    </row>
    <row r="46" spans="2:10" x14ac:dyDescent="0.35">
      <c r="B46" s="356">
        <v>26</v>
      </c>
      <c r="C46" s="356" t="s">
        <v>11</v>
      </c>
      <c r="D46" s="356" t="s">
        <v>77</v>
      </c>
      <c r="E46" s="356" t="s">
        <v>78</v>
      </c>
      <c r="F46" s="356">
        <v>8287000</v>
      </c>
      <c r="G46" s="356">
        <v>33028883.870000001</v>
      </c>
      <c r="H46" s="356">
        <v>1</v>
      </c>
      <c r="I46" s="356"/>
      <c r="J46" s="311">
        <v>2</v>
      </c>
    </row>
    <row r="47" spans="2:10" x14ac:dyDescent="0.35">
      <c r="B47" s="356">
        <v>26</v>
      </c>
      <c r="C47" s="356" t="s">
        <v>12</v>
      </c>
      <c r="D47" s="356" t="s">
        <v>281</v>
      </c>
      <c r="E47" s="356" t="s">
        <v>398</v>
      </c>
      <c r="F47" s="356">
        <v>8161000</v>
      </c>
      <c r="G47" s="356">
        <v>36158364.710000001</v>
      </c>
      <c r="H47" s="356">
        <v>1</v>
      </c>
      <c r="I47" s="356"/>
      <c r="J47" s="311">
        <v>1</v>
      </c>
    </row>
    <row r="48" spans="2:10" x14ac:dyDescent="0.35">
      <c r="B48" s="356">
        <v>26</v>
      </c>
      <c r="C48" s="356" t="s">
        <v>12</v>
      </c>
      <c r="D48" s="356" t="s">
        <v>72</v>
      </c>
      <c r="E48" s="356" t="s">
        <v>399</v>
      </c>
      <c r="F48" s="356">
        <v>8975000</v>
      </c>
      <c r="G48" s="356">
        <v>9394822.9199999999</v>
      </c>
      <c r="H48" s="356">
        <v>2</v>
      </c>
      <c r="I48" s="356"/>
      <c r="J48" s="311">
        <v>1</v>
      </c>
    </row>
    <row r="49" spans="2:10" x14ac:dyDescent="0.35">
      <c r="B49" s="356">
        <v>26</v>
      </c>
      <c r="C49" s="356" t="s">
        <v>64</v>
      </c>
      <c r="D49" s="356" t="s">
        <v>64</v>
      </c>
      <c r="E49" s="356" t="s">
        <v>392</v>
      </c>
      <c r="F49" s="356">
        <v>9182000</v>
      </c>
      <c r="G49" s="356">
        <v>19342237.420000002</v>
      </c>
      <c r="H49" s="356">
        <v>1</v>
      </c>
      <c r="I49" s="356"/>
      <c r="J49" s="311">
        <v>1</v>
      </c>
    </row>
    <row r="50" spans="2:10" x14ac:dyDescent="0.35">
      <c r="B50" s="356">
        <v>26</v>
      </c>
      <c r="C50" s="356" t="s">
        <v>85</v>
      </c>
      <c r="D50" s="356" t="s">
        <v>87</v>
      </c>
      <c r="E50" s="356" t="s">
        <v>281</v>
      </c>
      <c r="F50" s="356">
        <v>6356000</v>
      </c>
      <c r="G50" s="356">
        <v>22251858.010000002</v>
      </c>
      <c r="H50" s="356">
        <v>1</v>
      </c>
      <c r="I50" s="356"/>
      <c r="J50" s="311">
        <v>4</v>
      </c>
    </row>
    <row r="51" spans="2:10" x14ac:dyDescent="0.35">
      <c r="B51" s="356">
        <v>27</v>
      </c>
      <c r="C51" s="356" t="s">
        <v>83</v>
      </c>
      <c r="D51" s="356" t="s">
        <v>377</v>
      </c>
      <c r="E51" s="356" t="s">
        <v>400</v>
      </c>
      <c r="F51" s="356">
        <v>6440000</v>
      </c>
      <c r="G51" s="356">
        <v>50512000</v>
      </c>
      <c r="H51" s="356">
        <v>1</v>
      </c>
      <c r="I51" s="356"/>
      <c r="J51" s="311">
        <v>1</v>
      </c>
    </row>
    <row r="52" spans="2:10" x14ac:dyDescent="0.35">
      <c r="B52" s="356">
        <v>27</v>
      </c>
      <c r="C52" s="356" t="s">
        <v>83</v>
      </c>
      <c r="D52" s="356" t="s">
        <v>302</v>
      </c>
      <c r="E52" s="356" t="s">
        <v>385</v>
      </c>
      <c r="F52" s="356">
        <v>9267000</v>
      </c>
      <c r="G52" s="356">
        <v>31243000</v>
      </c>
      <c r="H52" s="356">
        <v>1</v>
      </c>
      <c r="I52" s="356"/>
      <c r="J52" s="311">
        <v>1</v>
      </c>
    </row>
    <row r="53" spans="2:10" x14ac:dyDescent="0.35">
      <c r="B53" s="356">
        <v>27</v>
      </c>
      <c r="C53" s="356" t="s">
        <v>83</v>
      </c>
      <c r="D53" s="356" t="s">
        <v>302</v>
      </c>
      <c r="E53" s="356" t="s">
        <v>303</v>
      </c>
      <c r="F53" s="356">
        <v>7280000</v>
      </c>
      <c r="G53" s="356">
        <v>48438000</v>
      </c>
      <c r="H53" s="356">
        <v>1</v>
      </c>
      <c r="I53" s="356"/>
      <c r="J53" s="311">
        <v>1</v>
      </c>
    </row>
    <row r="54" spans="2:10" x14ac:dyDescent="0.35">
      <c r="B54" s="356">
        <v>27</v>
      </c>
      <c r="C54" s="356" t="s">
        <v>83</v>
      </c>
      <c r="D54" s="356" t="s">
        <v>401</v>
      </c>
      <c r="E54" s="356" t="s">
        <v>284</v>
      </c>
      <c r="F54" s="356">
        <v>7406000</v>
      </c>
      <c r="G54" s="356">
        <v>59380000</v>
      </c>
      <c r="H54" s="356">
        <v>1</v>
      </c>
      <c r="I54" s="356"/>
      <c r="J54" s="311">
        <v>1</v>
      </c>
    </row>
    <row r="55" spans="2:10" ht="18" customHeight="1" x14ac:dyDescent="0.35">
      <c r="B55" s="356">
        <v>27</v>
      </c>
      <c r="C55" s="356" t="s">
        <v>83</v>
      </c>
      <c r="D55" s="356" t="s">
        <v>344</v>
      </c>
      <c r="E55" s="356" t="s">
        <v>402</v>
      </c>
      <c r="F55" s="356">
        <v>8329000</v>
      </c>
      <c r="G55" s="356">
        <v>42752000</v>
      </c>
      <c r="H55" s="356">
        <v>1</v>
      </c>
      <c r="I55" s="356"/>
      <c r="J55" s="311">
        <v>1</v>
      </c>
    </row>
    <row r="56" spans="2:10" x14ac:dyDescent="0.35">
      <c r="B56" s="356">
        <v>27</v>
      </c>
      <c r="C56" s="356" t="s">
        <v>83</v>
      </c>
      <c r="D56" s="356" t="s">
        <v>344</v>
      </c>
      <c r="E56" s="356" t="s">
        <v>403</v>
      </c>
      <c r="F56" s="356">
        <v>7070000</v>
      </c>
      <c r="G56" s="356">
        <v>20430000</v>
      </c>
      <c r="H56" s="356">
        <v>1</v>
      </c>
      <c r="I56" s="356"/>
      <c r="J56" s="311">
        <v>1</v>
      </c>
    </row>
    <row r="57" spans="2:10" x14ac:dyDescent="0.35">
      <c r="B57" s="356">
        <v>27</v>
      </c>
      <c r="C57" s="356" t="s">
        <v>11</v>
      </c>
      <c r="D57" s="356" t="s">
        <v>11</v>
      </c>
      <c r="E57" s="356" t="s">
        <v>404</v>
      </c>
      <c r="F57" s="356">
        <v>7448000</v>
      </c>
      <c r="G57" s="356">
        <v>53522000</v>
      </c>
      <c r="H57" s="356">
        <v>1</v>
      </c>
      <c r="I57" s="356"/>
      <c r="J57" s="311">
        <v>1</v>
      </c>
    </row>
    <row r="58" spans="2:10" x14ac:dyDescent="0.35">
      <c r="B58" s="356">
        <v>27</v>
      </c>
      <c r="C58" s="356" t="s">
        <v>11</v>
      </c>
      <c r="D58" s="356" t="s">
        <v>70</v>
      </c>
      <c r="E58" s="356" t="s">
        <v>284</v>
      </c>
      <c r="F58" s="356">
        <v>9208000</v>
      </c>
      <c r="G58" s="356">
        <v>24443000</v>
      </c>
      <c r="H58" s="356">
        <v>1</v>
      </c>
      <c r="I58" s="356"/>
      <c r="J58" s="311">
        <v>1</v>
      </c>
    </row>
    <row r="59" spans="2:10" x14ac:dyDescent="0.35">
      <c r="B59" s="356">
        <v>27</v>
      </c>
      <c r="C59" s="356" t="s">
        <v>11</v>
      </c>
      <c r="D59" s="356" t="s">
        <v>70</v>
      </c>
      <c r="E59" s="356" t="s">
        <v>405</v>
      </c>
      <c r="F59" s="356">
        <v>9227000</v>
      </c>
      <c r="G59" s="356">
        <v>20482000</v>
      </c>
      <c r="H59" s="356">
        <v>1</v>
      </c>
      <c r="I59" s="356"/>
      <c r="J59" s="311">
        <v>1</v>
      </c>
    </row>
    <row r="60" spans="2:10" x14ac:dyDescent="0.35">
      <c r="B60" s="356">
        <v>27</v>
      </c>
      <c r="C60" s="356" t="s">
        <v>11</v>
      </c>
      <c r="D60" s="356" t="s">
        <v>70</v>
      </c>
      <c r="E60" s="356" t="s">
        <v>406</v>
      </c>
      <c r="F60" s="356">
        <v>6230000</v>
      </c>
      <c r="G60" s="356">
        <v>43713000</v>
      </c>
      <c r="H60" s="356">
        <v>1</v>
      </c>
      <c r="I60" s="356"/>
      <c r="J60" s="311">
        <v>1</v>
      </c>
    </row>
    <row r="61" spans="2:10" x14ac:dyDescent="0.35">
      <c r="B61" s="356">
        <v>27</v>
      </c>
      <c r="C61" s="356" t="s">
        <v>11</v>
      </c>
      <c r="D61" s="356" t="s">
        <v>379</v>
      </c>
      <c r="E61" s="356" t="s">
        <v>330</v>
      </c>
      <c r="F61" s="356">
        <v>8119000</v>
      </c>
      <c r="G61" s="356">
        <v>44471000</v>
      </c>
      <c r="H61" s="356">
        <v>1</v>
      </c>
      <c r="I61" s="356"/>
      <c r="J61" s="311">
        <v>1</v>
      </c>
    </row>
    <row r="62" spans="2:10" x14ac:dyDescent="0.35">
      <c r="B62" s="356">
        <v>27</v>
      </c>
      <c r="C62" s="356" t="s">
        <v>11</v>
      </c>
      <c r="D62" s="356" t="s">
        <v>379</v>
      </c>
      <c r="E62" s="356" t="s">
        <v>407</v>
      </c>
      <c r="F62" s="356">
        <v>7238000</v>
      </c>
      <c r="G62" s="356">
        <v>45443000</v>
      </c>
      <c r="H62" s="356">
        <v>1</v>
      </c>
      <c r="I62" s="356"/>
      <c r="J62" s="311">
        <v>2</v>
      </c>
    </row>
    <row r="63" spans="2:10" x14ac:dyDescent="0.35">
      <c r="B63" s="356">
        <v>27</v>
      </c>
      <c r="C63" s="356" t="s">
        <v>11</v>
      </c>
      <c r="D63" s="356" t="s">
        <v>77</v>
      </c>
      <c r="E63" s="356" t="s">
        <v>408</v>
      </c>
      <c r="F63" s="356">
        <v>8613500</v>
      </c>
      <c r="G63" s="356">
        <v>30547000</v>
      </c>
      <c r="H63" s="356">
        <v>2</v>
      </c>
      <c r="I63" s="356"/>
      <c r="J63" s="311">
        <v>1</v>
      </c>
    </row>
    <row r="64" spans="2:10" x14ac:dyDescent="0.35">
      <c r="B64" s="356">
        <v>27</v>
      </c>
      <c r="C64" s="356" t="s">
        <v>11</v>
      </c>
      <c r="D64" s="356" t="s">
        <v>77</v>
      </c>
      <c r="E64" s="356" t="s">
        <v>304</v>
      </c>
      <c r="F64" s="356">
        <v>9260000</v>
      </c>
      <c r="G64" s="356">
        <v>21101000</v>
      </c>
      <c r="H64" s="356">
        <v>1</v>
      </c>
      <c r="I64" s="356"/>
      <c r="J64" s="311">
        <v>1</v>
      </c>
    </row>
    <row r="65" spans="2:10" x14ac:dyDescent="0.35">
      <c r="B65" s="356">
        <v>27</v>
      </c>
      <c r="C65" s="356" t="s">
        <v>12</v>
      </c>
      <c r="D65" s="356" t="s">
        <v>12</v>
      </c>
      <c r="E65" s="356" t="s">
        <v>380</v>
      </c>
      <c r="F65" s="356">
        <v>7322000</v>
      </c>
      <c r="G65" s="356">
        <v>56093000</v>
      </c>
      <c r="H65" s="356">
        <v>1</v>
      </c>
      <c r="I65" s="356"/>
      <c r="J65" s="311">
        <v>1</v>
      </c>
    </row>
    <row r="66" spans="2:10" x14ac:dyDescent="0.35">
      <c r="B66" s="356">
        <v>27</v>
      </c>
      <c r="C66" s="356" t="s">
        <v>12</v>
      </c>
      <c r="D66" s="356" t="s">
        <v>237</v>
      </c>
      <c r="E66" s="356" t="s">
        <v>383</v>
      </c>
      <c r="F66" s="356">
        <v>7825000</v>
      </c>
      <c r="G66" s="356">
        <v>46425000</v>
      </c>
      <c r="H66" s="356">
        <v>1</v>
      </c>
      <c r="I66" s="356"/>
      <c r="J66" s="311">
        <v>1</v>
      </c>
    </row>
    <row r="67" spans="2:10" x14ac:dyDescent="0.35">
      <c r="B67" s="356">
        <v>27</v>
      </c>
      <c r="C67" s="356" t="s">
        <v>13</v>
      </c>
      <c r="D67" s="356" t="s">
        <v>409</v>
      </c>
      <c r="E67" s="356" t="s">
        <v>410</v>
      </c>
      <c r="F67" s="356">
        <v>8161000</v>
      </c>
      <c r="G67" s="356">
        <v>60075000</v>
      </c>
      <c r="H67" s="356">
        <v>1</v>
      </c>
      <c r="I67" s="356"/>
      <c r="J67" s="311">
        <v>1</v>
      </c>
    </row>
    <row r="68" spans="2:10" x14ac:dyDescent="0.35">
      <c r="B68" s="356">
        <v>27</v>
      </c>
      <c r="C68" s="356" t="s">
        <v>13</v>
      </c>
      <c r="D68" s="356" t="s">
        <v>86</v>
      </c>
      <c r="E68" s="356" t="s">
        <v>293</v>
      </c>
      <c r="F68" s="356">
        <v>8539000</v>
      </c>
      <c r="G68" s="356">
        <v>20842000</v>
      </c>
      <c r="H68" s="356">
        <v>1</v>
      </c>
      <c r="I68" s="356"/>
      <c r="J68" s="311">
        <v>1</v>
      </c>
    </row>
    <row r="69" spans="2:10" x14ac:dyDescent="0.35">
      <c r="B69" s="356">
        <v>27</v>
      </c>
      <c r="C69" s="356" t="s">
        <v>63</v>
      </c>
      <c r="D69" s="356" t="s">
        <v>350</v>
      </c>
      <c r="E69" s="356" t="s">
        <v>411</v>
      </c>
      <c r="F69" s="356">
        <v>9267000</v>
      </c>
      <c r="G69" s="356">
        <v>25194000</v>
      </c>
      <c r="H69" s="356">
        <v>1</v>
      </c>
      <c r="I69" s="356"/>
      <c r="J69" s="311">
        <v>1</v>
      </c>
    </row>
    <row r="70" spans="2:10" x14ac:dyDescent="0.35">
      <c r="B70" s="356">
        <v>27</v>
      </c>
      <c r="C70" s="356" t="s">
        <v>63</v>
      </c>
      <c r="D70" s="356" t="s">
        <v>412</v>
      </c>
      <c r="E70" s="356" t="s">
        <v>413</v>
      </c>
      <c r="F70" s="356">
        <v>8623000</v>
      </c>
      <c r="G70" s="356">
        <v>16107000</v>
      </c>
      <c r="H70" s="356">
        <v>1</v>
      </c>
      <c r="I70" s="356"/>
      <c r="J70" s="311">
        <v>1</v>
      </c>
    </row>
    <row r="71" spans="2:10" x14ac:dyDescent="0.35">
      <c r="B71" s="356">
        <v>27</v>
      </c>
      <c r="C71" s="356" t="s">
        <v>63</v>
      </c>
      <c r="D71" s="356" t="s">
        <v>414</v>
      </c>
      <c r="E71" s="356" t="s">
        <v>414</v>
      </c>
      <c r="F71" s="356">
        <v>6398000</v>
      </c>
      <c r="G71" s="356">
        <v>45468000</v>
      </c>
      <c r="H71" s="356">
        <v>1</v>
      </c>
      <c r="I71" s="356"/>
      <c r="J71" s="311">
        <v>1</v>
      </c>
    </row>
    <row r="72" spans="2:10" x14ac:dyDescent="0.35">
      <c r="B72" s="356">
        <v>27</v>
      </c>
      <c r="C72" s="356" t="s">
        <v>63</v>
      </c>
      <c r="D72" s="356" t="s">
        <v>371</v>
      </c>
      <c r="E72" s="356" t="s">
        <v>371</v>
      </c>
      <c r="F72" s="356">
        <v>9043000</v>
      </c>
      <c r="G72" s="356">
        <v>26511000</v>
      </c>
      <c r="H72" s="356">
        <v>1</v>
      </c>
      <c r="I72" s="356"/>
      <c r="J72" s="311">
        <v>2</v>
      </c>
    </row>
    <row r="73" spans="2:10" x14ac:dyDescent="0.35">
      <c r="B73" s="356">
        <v>27</v>
      </c>
      <c r="C73" s="356" t="s">
        <v>63</v>
      </c>
      <c r="D73" s="356" t="s">
        <v>371</v>
      </c>
      <c r="E73" s="356" t="s">
        <v>372</v>
      </c>
      <c r="F73" s="356">
        <v>8413000</v>
      </c>
      <c r="G73" s="356">
        <v>46419000</v>
      </c>
      <c r="H73" s="356">
        <v>1</v>
      </c>
      <c r="I73" s="356"/>
      <c r="J73" s="311">
        <v>2</v>
      </c>
    </row>
    <row r="74" spans="2:10" x14ac:dyDescent="0.35">
      <c r="B74" s="356">
        <v>27</v>
      </c>
      <c r="C74" s="356" t="s">
        <v>85</v>
      </c>
      <c r="D74" s="356" t="s">
        <v>87</v>
      </c>
      <c r="E74" s="356" t="s">
        <v>91</v>
      </c>
      <c r="F74" s="356">
        <v>7909000</v>
      </c>
      <c r="G74" s="356">
        <v>44074000</v>
      </c>
      <c r="H74" s="356">
        <v>1</v>
      </c>
      <c r="I74" s="356"/>
      <c r="J74" s="311">
        <v>1</v>
      </c>
    </row>
    <row r="75" spans="2:10" x14ac:dyDescent="0.35">
      <c r="B75" s="356">
        <v>28</v>
      </c>
      <c r="C75" s="356" t="s">
        <v>11</v>
      </c>
      <c r="D75" s="356" t="s">
        <v>415</v>
      </c>
      <c r="E75" s="356" t="s">
        <v>410</v>
      </c>
      <c r="F75" s="356">
        <v>8350000</v>
      </c>
      <c r="G75" s="356">
        <v>29538682.704999998</v>
      </c>
      <c r="H75" s="356">
        <v>2</v>
      </c>
      <c r="I75" s="356"/>
      <c r="J75" s="311">
        <v>1</v>
      </c>
    </row>
    <row r="76" spans="2:10" x14ac:dyDescent="0.35">
      <c r="B76" s="356">
        <v>28</v>
      </c>
      <c r="C76" s="356" t="s">
        <v>11</v>
      </c>
      <c r="D76" s="356" t="s">
        <v>362</v>
      </c>
      <c r="E76" s="356" t="s">
        <v>416</v>
      </c>
      <c r="F76" s="356">
        <v>13891500</v>
      </c>
      <c r="G76" s="356">
        <v>14383043.115</v>
      </c>
      <c r="H76" s="356">
        <v>2</v>
      </c>
      <c r="I76" s="356"/>
      <c r="J76" s="311">
        <v>2</v>
      </c>
    </row>
    <row r="77" spans="2:10" x14ac:dyDescent="0.35">
      <c r="B77" s="356">
        <v>28</v>
      </c>
      <c r="C77" s="356" t="s">
        <v>11</v>
      </c>
      <c r="D77" s="356" t="s">
        <v>71</v>
      </c>
      <c r="E77" s="356" t="s">
        <v>71</v>
      </c>
      <c r="F77" s="356">
        <v>13950000</v>
      </c>
      <c r="G77" s="356">
        <v>14349356.4</v>
      </c>
      <c r="H77" s="356">
        <v>1</v>
      </c>
      <c r="I77" s="356"/>
      <c r="J77" s="311">
        <v>1</v>
      </c>
    </row>
    <row r="78" spans="2:10" x14ac:dyDescent="0.35">
      <c r="B78" s="356">
        <v>28</v>
      </c>
      <c r="C78" s="356" t="s">
        <v>11</v>
      </c>
      <c r="D78" s="356" t="s">
        <v>71</v>
      </c>
      <c r="E78" s="356" t="s">
        <v>90</v>
      </c>
      <c r="F78" s="356">
        <v>13950000</v>
      </c>
      <c r="G78" s="356">
        <v>14322152.5</v>
      </c>
      <c r="H78" s="356">
        <v>1</v>
      </c>
      <c r="I78" s="356"/>
      <c r="J78" s="311">
        <v>1</v>
      </c>
    </row>
    <row r="79" spans="2:10" x14ac:dyDescent="0.35">
      <c r="B79" s="356">
        <v>28</v>
      </c>
      <c r="C79" s="356" t="s">
        <v>11</v>
      </c>
      <c r="D79" s="356" t="s">
        <v>81</v>
      </c>
      <c r="E79" s="356" t="s">
        <v>417</v>
      </c>
      <c r="F79" s="356">
        <v>8730500</v>
      </c>
      <c r="G79" s="356">
        <v>9581404.6500000004</v>
      </c>
      <c r="H79" s="356">
        <v>2</v>
      </c>
      <c r="I79" s="356"/>
      <c r="J79" s="311">
        <v>1</v>
      </c>
    </row>
    <row r="80" spans="2:10" x14ac:dyDescent="0.35">
      <c r="B80" s="356">
        <v>28</v>
      </c>
      <c r="C80" s="356" t="s">
        <v>13</v>
      </c>
      <c r="D80" s="356" t="s">
        <v>86</v>
      </c>
      <c r="E80" s="356" t="s">
        <v>331</v>
      </c>
      <c r="F80" s="356">
        <v>9273000</v>
      </c>
      <c r="G80" s="356">
        <v>9605670.8300000001</v>
      </c>
      <c r="H80" s="356">
        <v>1</v>
      </c>
      <c r="I80" s="356"/>
      <c r="J80" s="311">
        <v>5</v>
      </c>
    </row>
    <row r="81" spans="2:10" x14ac:dyDescent="0.35">
      <c r="B81" s="356">
        <v>28</v>
      </c>
      <c r="C81" s="356" t="s">
        <v>63</v>
      </c>
      <c r="D81" s="356" t="s">
        <v>275</v>
      </c>
      <c r="E81" s="356" t="s">
        <v>275</v>
      </c>
      <c r="F81" s="356">
        <v>9283500</v>
      </c>
      <c r="G81" s="356">
        <v>9605789.4800000004</v>
      </c>
      <c r="H81" s="356">
        <v>2</v>
      </c>
      <c r="I81" s="356"/>
      <c r="J81" s="311">
        <v>1</v>
      </c>
    </row>
    <row r="82" spans="2:10" x14ac:dyDescent="0.35">
      <c r="B82" s="356">
        <v>28</v>
      </c>
      <c r="C82" s="356" t="s">
        <v>63</v>
      </c>
      <c r="D82" s="356" t="s">
        <v>275</v>
      </c>
      <c r="E82" s="356" t="s">
        <v>418</v>
      </c>
      <c r="F82" s="356">
        <v>9300000</v>
      </c>
      <c r="G82" s="356">
        <v>9605975.9299999997</v>
      </c>
      <c r="H82" s="356">
        <v>1</v>
      </c>
      <c r="I82" s="356"/>
      <c r="J82" s="311">
        <v>3</v>
      </c>
    </row>
    <row r="83" spans="2:10" x14ac:dyDescent="0.35">
      <c r="B83" s="356">
        <v>28</v>
      </c>
      <c r="C83" s="356" t="s">
        <v>63</v>
      </c>
      <c r="D83" s="356" t="s">
        <v>419</v>
      </c>
      <c r="E83" s="356" t="s">
        <v>419</v>
      </c>
      <c r="F83" s="356">
        <v>9273500</v>
      </c>
      <c r="G83" s="356">
        <v>9605676.4800000004</v>
      </c>
      <c r="H83" s="356">
        <v>2</v>
      </c>
      <c r="I83" s="356"/>
      <c r="J83" s="311">
        <v>2</v>
      </c>
    </row>
    <row r="84" spans="2:10" x14ac:dyDescent="0.35">
      <c r="B84" s="356">
        <v>28</v>
      </c>
      <c r="C84" s="356" t="s">
        <v>63</v>
      </c>
      <c r="D84" s="356" t="s">
        <v>419</v>
      </c>
      <c r="E84" s="356" t="s">
        <v>420</v>
      </c>
      <c r="F84" s="356">
        <v>6975000</v>
      </c>
      <c r="G84" s="356">
        <v>9605975.6974999998</v>
      </c>
      <c r="H84" s="356">
        <v>4</v>
      </c>
      <c r="I84" s="356"/>
      <c r="J84" s="311">
        <v>1</v>
      </c>
    </row>
    <row r="85" spans="2:10" x14ac:dyDescent="0.35">
      <c r="B85" s="356">
        <v>28</v>
      </c>
      <c r="C85" s="356" t="s">
        <v>63</v>
      </c>
      <c r="D85" s="356" t="s">
        <v>419</v>
      </c>
      <c r="E85" s="356" t="s">
        <v>421</v>
      </c>
      <c r="F85" s="356">
        <v>12554000</v>
      </c>
      <c r="G85" s="356">
        <v>14371707.800000001</v>
      </c>
      <c r="H85" s="356">
        <v>1</v>
      </c>
      <c r="I85" s="356"/>
      <c r="J85" s="311">
        <v>1</v>
      </c>
    </row>
    <row r="86" spans="2:10" x14ac:dyDescent="0.35">
      <c r="B86" s="356">
        <v>28</v>
      </c>
      <c r="C86" s="356" t="s">
        <v>63</v>
      </c>
      <c r="D86" s="356" t="s">
        <v>419</v>
      </c>
      <c r="E86" s="356" t="s">
        <v>422</v>
      </c>
      <c r="F86" s="356">
        <v>9300000</v>
      </c>
      <c r="G86" s="356">
        <v>9571793.4299999997</v>
      </c>
      <c r="H86" s="356">
        <v>1</v>
      </c>
      <c r="I86" s="356"/>
      <c r="J86" s="311">
        <v>2</v>
      </c>
    </row>
    <row r="87" spans="2:10" x14ac:dyDescent="0.35">
      <c r="B87" s="356">
        <v>28</v>
      </c>
      <c r="C87" s="356" t="s">
        <v>63</v>
      </c>
      <c r="D87" s="356" t="s">
        <v>73</v>
      </c>
      <c r="E87" s="356" t="s">
        <v>73</v>
      </c>
      <c r="F87" s="356">
        <v>9290000</v>
      </c>
      <c r="G87" s="356">
        <v>9588771.6799999997</v>
      </c>
      <c r="H87" s="356">
        <v>2</v>
      </c>
      <c r="I87" s="356"/>
      <c r="J87" s="311">
        <v>1</v>
      </c>
    </row>
    <row r="88" spans="2:10" x14ac:dyDescent="0.35">
      <c r="B88" s="356">
        <v>28</v>
      </c>
      <c r="C88" s="356" t="s">
        <v>63</v>
      </c>
      <c r="D88" s="356" t="s">
        <v>73</v>
      </c>
      <c r="E88" s="356" t="s">
        <v>367</v>
      </c>
      <c r="F88" s="356">
        <v>9300000</v>
      </c>
      <c r="G88" s="356">
        <v>9587840</v>
      </c>
      <c r="H88" s="356">
        <v>1</v>
      </c>
      <c r="I88" s="356"/>
      <c r="J88" s="311">
        <v>1</v>
      </c>
    </row>
    <row r="89" spans="2:10" x14ac:dyDescent="0.35">
      <c r="B89" s="356">
        <v>28</v>
      </c>
      <c r="C89" s="356" t="s">
        <v>63</v>
      </c>
      <c r="D89" s="356" t="s">
        <v>412</v>
      </c>
      <c r="E89" s="356" t="s">
        <v>423</v>
      </c>
      <c r="F89" s="356">
        <v>9300000</v>
      </c>
      <c r="G89" s="356">
        <v>9605975.9299999997</v>
      </c>
      <c r="H89" s="356">
        <v>1</v>
      </c>
      <c r="I89" s="356"/>
      <c r="J89" s="311">
        <v>1</v>
      </c>
    </row>
    <row r="90" spans="2:10" x14ac:dyDescent="0.35">
      <c r="B90" s="356">
        <v>28</v>
      </c>
      <c r="C90" s="356" t="s">
        <v>63</v>
      </c>
      <c r="D90" s="356" t="s">
        <v>332</v>
      </c>
      <c r="E90" s="356" t="s">
        <v>333</v>
      </c>
      <c r="F90" s="356">
        <v>9300000</v>
      </c>
      <c r="G90" s="356">
        <v>9605975.9299999997</v>
      </c>
      <c r="H90" s="356">
        <v>1</v>
      </c>
      <c r="I90" s="356"/>
      <c r="J90" s="311">
        <v>1</v>
      </c>
    </row>
    <row r="91" spans="2:10" x14ac:dyDescent="0.35">
      <c r="B91" s="356">
        <v>28</v>
      </c>
      <c r="C91" s="356" t="s">
        <v>63</v>
      </c>
      <c r="D91" s="356" t="s">
        <v>424</v>
      </c>
      <c r="E91" s="356" t="s">
        <v>425</v>
      </c>
      <c r="F91" s="356">
        <v>9300000</v>
      </c>
      <c r="G91" s="356">
        <v>9587840</v>
      </c>
      <c r="H91" s="356">
        <v>1</v>
      </c>
      <c r="I91" s="356"/>
      <c r="J91" s="311">
        <v>1</v>
      </c>
    </row>
    <row r="92" spans="2:10" x14ac:dyDescent="0.35">
      <c r="B92" s="356">
        <v>28</v>
      </c>
      <c r="C92" s="356" t="s">
        <v>64</v>
      </c>
      <c r="D92" s="356" t="s">
        <v>64</v>
      </c>
      <c r="E92" s="356" t="s">
        <v>338</v>
      </c>
      <c r="F92" s="356">
        <v>9300000</v>
      </c>
      <c r="G92" s="356">
        <v>9605975.9299999997</v>
      </c>
      <c r="H92" s="356">
        <v>1</v>
      </c>
      <c r="I92" s="356"/>
      <c r="J92" s="311">
        <v>1</v>
      </c>
    </row>
    <row r="93" spans="2:10" x14ac:dyDescent="0.35">
      <c r="B93" s="356">
        <v>28</v>
      </c>
      <c r="C93" s="356" t="s">
        <v>64</v>
      </c>
      <c r="D93" s="356" t="s">
        <v>64</v>
      </c>
      <c r="E93" s="356" t="s">
        <v>392</v>
      </c>
      <c r="F93" s="356">
        <v>8749000</v>
      </c>
      <c r="G93" s="356">
        <v>9599749.6300000008</v>
      </c>
      <c r="H93" s="356">
        <v>1</v>
      </c>
      <c r="I93" s="356"/>
      <c r="J93" s="311">
        <v>1</v>
      </c>
    </row>
    <row r="94" spans="2:10" x14ac:dyDescent="0.35">
      <c r="B94" s="356">
        <v>28</v>
      </c>
      <c r="C94" s="356" t="s">
        <v>64</v>
      </c>
      <c r="D94" s="356" t="s">
        <v>374</v>
      </c>
      <c r="E94" s="356" t="s">
        <v>345</v>
      </c>
      <c r="F94" s="356">
        <v>9300000</v>
      </c>
      <c r="G94" s="356">
        <v>9605975.9299999997</v>
      </c>
      <c r="H94" s="356">
        <v>1</v>
      </c>
      <c r="I94" s="356"/>
      <c r="J94" s="311">
        <v>1</v>
      </c>
    </row>
    <row r="95" spans="2:10" x14ac:dyDescent="0.35">
      <c r="B95" s="356">
        <v>28</v>
      </c>
      <c r="C95" s="356" t="s">
        <v>64</v>
      </c>
      <c r="D95" s="356" t="s">
        <v>62</v>
      </c>
      <c r="E95" s="356" t="s">
        <v>353</v>
      </c>
      <c r="F95" s="356">
        <v>9285791.6666666698</v>
      </c>
      <c r="G95" s="356">
        <v>9586255.1750000007</v>
      </c>
      <c r="H95" s="356">
        <v>24</v>
      </c>
      <c r="I95" s="356"/>
      <c r="J95" s="311">
        <v>8</v>
      </c>
    </row>
    <row r="96" spans="2:10" x14ac:dyDescent="0.35">
      <c r="B96" s="356">
        <v>28</v>
      </c>
      <c r="C96" s="356" t="s">
        <v>64</v>
      </c>
      <c r="D96" s="356" t="s">
        <v>74</v>
      </c>
      <c r="E96" s="356" t="s">
        <v>426</v>
      </c>
      <c r="F96" s="356">
        <v>9300000</v>
      </c>
      <c r="G96" s="356">
        <v>9605975.9299999997</v>
      </c>
      <c r="H96" s="356">
        <v>1</v>
      </c>
      <c r="I96" s="356"/>
      <c r="J96" s="311">
        <v>1</v>
      </c>
    </row>
    <row r="97" spans="2:10" x14ac:dyDescent="0.35">
      <c r="B97" s="356">
        <v>28</v>
      </c>
      <c r="C97" s="356" t="s">
        <v>85</v>
      </c>
      <c r="D97" s="356" t="s">
        <v>87</v>
      </c>
      <c r="E97" s="356" t="s">
        <v>66</v>
      </c>
      <c r="F97" s="356">
        <v>9296500</v>
      </c>
      <c r="G97" s="356">
        <v>9608283</v>
      </c>
      <c r="H97" s="356">
        <v>2</v>
      </c>
      <c r="I97" s="356"/>
      <c r="J97" s="311">
        <v>1</v>
      </c>
    </row>
    <row r="98" spans="2:10" x14ac:dyDescent="0.35">
      <c r="B98" s="356">
        <v>28</v>
      </c>
      <c r="C98" s="356" t="s">
        <v>85</v>
      </c>
      <c r="D98" s="356" t="s">
        <v>87</v>
      </c>
      <c r="E98" s="356" t="s">
        <v>75</v>
      </c>
      <c r="F98" s="356">
        <v>11625000</v>
      </c>
      <c r="G98" s="356">
        <v>11992821.449999999</v>
      </c>
      <c r="H98" s="356">
        <v>2</v>
      </c>
      <c r="I98" s="356"/>
      <c r="J98" s="311">
        <v>1</v>
      </c>
    </row>
    <row r="99" spans="2:10" x14ac:dyDescent="0.35">
      <c r="B99" s="356">
        <v>28</v>
      </c>
      <c r="C99" s="356" t="s">
        <v>85</v>
      </c>
      <c r="D99" s="356" t="s">
        <v>87</v>
      </c>
      <c r="E99" s="356" t="s">
        <v>67</v>
      </c>
      <c r="F99" s="356">
        <v>9300000</v>
      </c>
      <c r="G99" s="356">
        <v>9618040.7100000009</v>
      </c>
      <c r="H99" s="356">
        <v>1</v>
      </c>
      <c r="I99" s="356"/>
      <c r="J99" s="311">
        <v>1</v>
      </c>
    </row>
    <row r="100" spans="2:10" x14ac:dyDescent="0.35">
      <c r="B100" s="356">
        <v>28</v>
      </c>
      <c r="C100" s="356" t="s">
        <v>85</v>
      </c>
      <c r="D100" s="356" t="s">
        <v>274</v>
      </c>
      <c r="E100" s="356" t="s">
        <v>274</v>
      </c>
      <c r="F100" s="356">
        <v>9214000</v>
      </c>
      <c r="G100" s="356">
        <v>9605004.1300000008</v>
      </c>
      <c r="H100" s="356">
        <v>1</v>
      </c>
      <c r="I100" s="356"/>
      <c r="J100" s="311">
        <v>1</v>
      </c>
    </row>
    <row r="101" spans="2:10" x14ac:dyDescent="0.35">
      <c r="B101" s="356">
        <v>28</v>
      </c>
      <c r="C101" s="356" t="s">
        <v>85</v>
      </c>
      <c r="D101" s="356" t="s">
        <v>274</v>
      </c>
      <c r="E101" s="356" t="s">
        <v>357</v>
      </c>
      <c r="F101" s="356">
        <v>9300000</v>
      </c>
      <c r="G101" s="356">
        <v>9605975.9299999997</v>
      </c>
      <c r="H101" s="356">
        <v>1</v>
      </c>
      <c r="I101" s="356"/>
      <c r="J101" s="311">
        <v>4</v>
      </c>
    </row>
    <row r="102" spans="2:10" x14ac:dyDescent="0.35">
      <c r="B102" s="356">
        <v>32</v>
      </c>
      <c r="C102" s="356" t="s">
        <v>83</v>
      </c>
      <c r="D102" s="356" t="s">
        <v>360</v>
      </c>
      <c r="E102" s="356" t="s">
        <v>361</v>
      </c>
      <c r="F102" s="356">
        <v>8203000</v>
      </c>
      <c r="G102" s="356">
        <v>24205848.77</v>
      </c>
      <c r="H102" s="356">
        <v>1</v>
      </c>
      <c r="I102" s="356"/>
      <c r="J102" s="311">
        <v>1</v>
      </c>
    </row>
    <row r="103" spans="2:10" x14ac:dyDescent="0.35">
      <c r="B103" s="356">
        <v>32</v>
      </c>
      <c r="C103" s="356" t="s">
        <v>83</v>
      </c>
      <c r="D103" s="356" t="s">
        <v>360</v>
      </c>
      <c r="E103" s="356" t="s">
        <v>427</v>
      </c>
      <c r="F103" s="356">
        <v>7196000</v>
      </c>
      <c r="G103" s="356">
        <v>25021760.109999999</v>
      </c>
      <c r="H103" s="356">
        <v>1</v>
      </c>
      <c r="I103" s="356"/>
      <c r="J103" s="311">
        <v>3</v>
      </c>
    </row>
    <row r="104" spans="2:10" x14ac:dyDescent="0.35">
      <c r="B104" s="356">
        <v>32</v>
      </c>
      <c r="C104" s="356" t="s">
        <v>83</v>
      </c>
      <c r="D104" s="356" t="s">
        <v>89</v>
      </c>
      <c r="E104" s="356" t="s">
        <v>346</v>
      </c>
      <c r="F104" s="356">
        <v>7531000</v>
      </c>
      <c r="G104" s="356">
        <v>20519967.73</v>
      </c>
      <c r="H104" s="356">
        <v>1</v>
      </c>
      <c r="I104" s="356"/>
      <c r="J104" s="311">
        <v>1</v>
      </c>
    </row>
    <row r="105" spans="2:10" x14ac:dyDescent="0.35">
      <c r="B105" s="356">
        <v>32</v>
      </c>
      <c r="C105" s="356" t="s">
        <v>11</v>
      </c>
      <c r="D105" s="356" t="s">
        <v>84</v>
      </c>
      <c r="E105" s="356" t="s">
        <v>428</v>
      </c>
      <c r="F105" s="356">
        <v>8371000</v>
      </c>
      <c r="G105" s="356">
        <v>25231734.699999999</v>
      </c>
      <c r="H105" s="356">
        <v>1</v>
      </c>
      <c r="I105" s="356"/>
      <c r="J105" s="311">
        <v>2</v>
      </c>
    </row>
    <row r="106" spans="2:10" x14ac:dyDescent="0.35">
      <c r="B106" s="356">
        <v>32</v>
      </c>
      <c r="C106" s="356" t="s">
        <v>11</v>
      </c>
      <c r="D106" s="356" t="s">
        <v>77</v>
      </c>
      <c r="E106" s="356" t="s">
        <v>408</v>
      </c>
      <c r="F106" s="356">
        <v>8665000</v>
      </c>
      <c r="G106" s="356">
        <v>22326580.140000001</v>
      </c>
      <c r="H106" s="356">
        <v>1</v>
      </c>
      <c r="I106" s="356"/>
      <c r="J106" s="311">
        <v>1</v>
      </c>
    </row>
    <row r="107" spans="2:10" x14ac:dyDescent="0.35">
      <c r="B107" s="356">
        <v>32</v>
      </c>
      <c r="C107" s="356" t="s">
        <v>63</v>
      </c>
      <c r="D107" s="356" t="s">
        <v>419</v>
      </c>
      <c r="E107" s="356" t="s">
        <v>419</v>
      </c>
      <c r="F107" s="356">
        <v>8707000</v>
      </c>
      <c r="G107" s="356">
        <v>24162837.73</v>
      </c>
      <c r="H107" s="356">
        <v>1</v>
      </c>
      <c r="I107" s="356"/>
      <c r="J107" s="311">
        <v>1</v>
      </c>
    </row>
    <row r="108" spans="2:10" x14ac:dyDescent="0.35">
      <c r="B108" s="356">
        <v>32</v>
      </c>
      <c r="C108" s="356" t="s">
        <v>63</v>
      </c>
      <c r="D108" s="356" t="s">
        <v>424</v>
      </c>
      <c r="E108" s="356" t="s">
        <v>424</v>
      </c>
      <c r="F108" s="356">
        <v>6566000</v>
      </c>
      <c r="G108" s="356">
        <v>21391583.120000001</v>
      </c>
      <c r="H108" s="356">
        <v>1</v>
      </c>
      <c r="I108" s="356"/>
      <c r="J108" s="311">
        <v>1</v>
      </c>
    </row>
    <row r="109" spans="2:10" x14ac:dyDescent="0.35">
      <c r="B109" s="356">
        <v>32</v>
      </c>
      <c r="C109" s="356" t="s">
        <v>63</v>
      </c>
      <c r="D109" s="356" t="s">
        <v>424</v>
      </c>
      <c r="E109" s="356" t="s">
        <v>429</v>
      </c>
      <c r="F109" s="356">
        <v>6818000</v>
      </c>
      <c r="G109" s="356">
        <v>20855049.059999999</v>
      </c>
      <c r="H109" s="356">
        <v>1</v>
      </c>
      <c r="I109" s="356"/>
      <c r="J109" s="311">
        <v>1</v>
      </c>
    </row>
    <row r="110" spans="2:10" x14ac:dyDescent="0.35">
      <c r="B110" s="356">
        <v>87</v>
      </c>
      <c r="C110" s="356" t="s">
        <v>63</v>
      </c>
      <c r="D110" s="356" t="s">
        <v>73</v>
      </c>
      <c r="E110" s="356" t="s">
        <v>430</v>
      </c>
      <c r="F110" s="356">
        <v>7112000</v>
      </c>
      <c r="G110" s="356">
        <v>17984021.960000001</v>
      </c>
      <c r="H110" s="356">
        <v>1</v>
      </c>
      <c r="I110" s="356"/>
      <c r="J110" s="311">
        <v>10</v>
      </c>
    </row>
    <row r="111" spans="2:10" x14ac:dyDescent="0.35">
      <c r="B111" s="356">
        <v>87</v>
      </c>
      <c r="C111" s="356" t="s">
        <v>63</v>
      </c>
      <c r="D111" s="356" t="s">
        <v>412</v>
      </c>
      <c r="E111" s="356" t="s">
        <v>423</v>
      </c>
      <c r="F111" s="356">
        <v>13950000</v>
      </c>
      <c r="G111" s="356">
        <v>14095693.5</v>
      </c>
      <c r="H111" s="356">
        <v>1</v>
      </c>
      <c r="I111" s="356"/>
      <c r="J111" s="311">
        <v>40</v>
      </c>
    </row>
    <row r="112" spans="2:10" x14ac:dyDescent="0.35">
      <c r="B112" s="356">
        <v>87</v>
      </c>
      <c r="C112" s="356" t="s">
        <v>64</v>
      </c>
      <c r="D112" s="356" t="s">
        <v>74</v>
      </c>
      <c r="E112" s="356" t="s">
        <v>431</v>
      </c>
      <c r="F112" s="356">
        <v>9234000</v>
      </c>
      <c r="G112" s="356">
        <v>9605975</v>
      </c>
      <c r="H112" s="356">
        <v>1</v>
      </c>
      <c r="I112" s="356"/>
      <c r="J112" s="311">
        <v>2</v>
      </c>
    </row>
    <row r="113" spans="2:10" x14ac:dyDescent="0.35">
      <c r="B113" s="356">
        <v>88</v>
      </c>
      <c r="C113" s="356" t="s">
        <v>83</v>
      </c>
      <c r="D113" s="356" t="s">
        <v>89</v>
      </c>
      <c r="E113" s="356" t="s">
        <v>432</v>
      </c>
      <c r="F113" s="356">
        <v>9293000</v>
      </c>
      <c r="G113" s="356">
        <v>9620978.5999999996</v>
      </c>
      <c r="H113" s="356">
        <v>1</v>
      </c>
      <c r="I113" s="356"/>
      <c r="J113" s="311">
        <v>2</v>
      </c>
    </row>
    <row r="114" spans="2:10" x14ac:dyDescent="0.35">
      <c r="B114" s="356">
        <v>88</v>
      </c>
      <c r="C114" s="356" t="s">
        <v>83</v>
      </c>
      <c r="D114" s="356" t="s">
        <v>89</v>
      </c>
      <c r="E114" s="356" t="s">
        <v>398</v>
      </c>
      <c r="F114" s="356">
        <v>9300000</v>
      </c>
      <c r="G114" s="356">
        <v>9620978.5999999996</v>
      </c>
      <c r="H114" s="356">
        <v>1</v>
      </c>
      <c r="I114" s="356"/>
      <c r="J114" s="311">
        <v>2</v>
      </c>
    </row>
    <row r="115" spans="2:10" x14ac:dyDescent="0.35">
      <c r="B115" s="356">
        <v>88</v>
      </c>
      <c r="C115" s="356" t="s">
        <v>83</v>
      </c>
      <c r="D115" s="356" t="s">
        <v>89</v>
      </c>
      <c r="E115" s="356" t="s">
        <v>433</v>
      </c>
      <c r="F115" s="356">
        <v>6916250</v>
      </c>
      <c r="G115" s="356">
        <v>10080700.272500001</v>
      </c>
      <c r="H115" s="356">
        <v>4</v>
      </c>
      <c r="I115" s="356"/>
      <c r="J115" s="311">
        <v>1</v>
      </c>
    </row>
    <row r="116" spans="2:10" x14ac:dyDescent="0.35">
      <c r="B116" s="356">
        <v>88</v>
      </c>
      <c r="C116" s="356" t="s">
        <v>11</v>
      </c>
      <c r="D116" s="356" t="s">
        <v>84</v>
      </c>
      <c r="E116" s="356" t="s">
        <v>276</v>
      </c>
      <c r="F116" s="356">
        <v>9300000</v>
      </c>
      <c r="G116" s="356">
        <v>9620978.5999999996</v>
      </c>
      <c r="H116" s="356">
        <v>1</v>
      </c>
      <c r="I116" s="356"/>
      <c r="J116" s="311">
        <v>1</v>
      </c>
    </row>
    <row r="117" spans="2:10" x14ac:dyDescent="0.35">
      <c r="B117" s="356">
        <v>88</v>
      </c>
      <c r="C117" s="356" t="s">
        <v>64</v>
      </c>
      <c r="D117" s="356" t="s">
        <v>64</v>
      </c>
      <c r="E117" s="356" t="s">
        <v>308</v>
      </c>
      <c r="F117" s="356">
        <v>8791000</v>
      </c>
      <c r="G117" s="356">
        <v>9617701.5999999996</v>
      </c>
      <c r="H117" s="356">
        <v>1</v>
      </c>
      <c r="I117" s="356"/>
      <c r="J117" s="311">
        <v>1</v>
      </c>
    </row>
    <row r="118" spans="2:10" x14ac:dyDescent="0.35">
      <c r="B118" s="356">
        <v>88</v>
      </c>
      <c r="C118" s="356" t="s">
        <v>64</v>
      </c>
      <c r="D118" s="356" t="s">
        <v>64</v>
      </c>
      <c r="E118" s="356" t="s">
        <v>338</v>
      </c>
      <c r="F118" s="356">
        <v>9300000</v>
      </c>
      <c r="G118" s="356">
        <v>9620978.5999999996</v>
      </c>
      <c r="H118" s="356">
        <v>1</v>
      </c>
      <c r="I118" s="356"/>
      <c r="J118" s="311">
        <v>1</v>
      </c>
    </row>
    <row r="119" spans="2:10" x14ac:dyDescent="0.35">
      <c r="B119" s="356">
        <v>88</v>
      </c>
      <c r="C119" s="356" t="s">
        <v>64</v>
      </c>
      <c r="D119" s="356" t="s">
        <v>64</v>
      </c>
      <c r="E119" s="356" t="s">
        <v>434</v>
      </c>
      <c r="F119" s="356">
        <v>9300000</v>
      </c>
      <c r="G119" s="356">
        <v>9620978.5999999996</v>
      </c>
      <c r="H119" s="356">
        <v>1</v>
      </c>
      <c r="I119" s="356"/>
      <c r="J119" s="311">
        <v>2</v>
      </c>
    </row>
    <row r="120" spans="2:10" x14ac:dyDescent="0.35">
      <c r="B120" s="356">
        <v>88</v>
      </c>
      <c r="C120" s="356" t="s">
        <v>64</v>
      </c>
      <c r="D120" s="356" t="s">
        <v>62</v>
      </c>
      <c r="E120" s="356" t="s">
        <v>435</v>
      </c>
      <c r="F120" s="356">
        <v>8749000</v>
      </c>
      <c r="G120" s="356">
        <v>9617701.5999999996</v>
      </c>
      <c r="H120" s="356">
        <v>1</v>
      </c>
      <c r="I120" s="356"/>
      <c r="J120" s="311">
        <v>2</v>
      </c>
    </row>
    <row r="121" spans="2:10" x14ac:dyDescent="0.35">
      <c r="B121" s="356">
        <v>88</v>
      </c>
      <c r="C121" s="356" t="s">
        <v>64</v>
      </c>
      <c r="D121" s="356" t="s">
        <v>65</v>
      </c>
      <c r="E121" s="356" t="s">
        <v>92</v>
      </c>
      <c r="F121" s="356">
        <v>9300000</v>
      </c>
      <c r="G121" s="356">
        <v>9620978.5999999996</v>
      </c>
      <c r="H121" s="356">
        <v>1</v>
      </c>
      <c r="I121" s="356"/>
      <c r="J121" s="311">
        <v>1</v>
      </c>
    </row>
    <row r="122" spans="2:10" x14ac:dyDescent="0.35">
      <c r="B122" s="356">
        <v>88</v>
      </c>
      <c r="C122" s="356" t="s">
        <v>64</v>
      </c>
      <c r="D122" s="356" t="s">
        <v>65</v>
      </c>
      <c r="E122" s="356" t="s">
        <v>436</v>
      </c>
      <c r="F122" s="356">
        <v>9300000</v>
      </c>
      <c r="G122" s="356">
        <v>9620978.5999999996</v>
      </c>
      <c r="H122" s="356">
        <v>1</v>
      </c>
      <c r="I122" s="356"/>
    </row>
    <row r="123" spans="2:10" x14ac:dyDescent="0.35">
      <c r="B123" s="356">
        <v>88</v>
      </c>
      <c r="C123" s="356" t="s">
        <v>64</v>
      </c>
      <c r="D123" s="356" t="s">
        <v>74</v>
      </c>
      <c r="E123" s="356" t="s">
        <v>437</v>
      </c>
      <c r="F123" s="356">
        <v>9300000</v>
      </c>
      <c r="G123" s="356">
        <v>9620978.5999999996</v>
      </c>
      <c r="H123" s="356">
        <v>1</v>
      </c>
      <c r="I123" s="356"/>
    </row>
    <row r="124" spans="2:10" x14ac:dyDescent="0.35">
      <c r="B124" s="356">
        <v>88</v>
      </c>
      <c r="C124" s="356" t="s">
        <v>64</v>
      </c>
      <c r="D124" s="356" t="s">
        <v>339</v>
      </c>
      <c r="E124" s="356" t="s">
        <v>438</v>
      </c>
      <c r="F124" s="356">
        <v>9260000</v>
      </c>
      <c r="G124" s="356">
        <v>9946706.2400000002</v>
      </c>
      <c r="H124" s="356">
        <v>1</v>
      </c>
      <c r="I124" s="356"/>
    </row>
    <row r="125" spans="2:10" x14ac:dyDescent="0.35">
      <c r="B125" s="356">
        <v>92</v>
      </c>
      <c r="C125" s="356" t="s">
        <v>83</v>
      </c>
      <c r="D125" s="356" t="s">
        <v>377</v>
      </c>
      <c r="E125" s="356" t="s">
        <v>439</v>
      </c>
      <c r="F125" s="356">
        <v>9300000</v>
      </c>
      <c r="G125" s="356">
        <v>9510000</v>
      </c>
      <c r="H125" s="356">
        <v>1</v>
      </c>
      <c r="I125" s="356"/>
    </row>
    <row r="126" spans="2:10" x14ac:dyDescent="0.35">
      <c r="B126" s="356">
        <v>92</v>
      </c>
      <c r="C126" s="356" t="s">
        <v>83</v>
      </c>
      <c r="D126" s="356" t="s">
        <v>340</v>
      </c>
      <c r="E126" s="356" t="s">
        <v>440</v>
      </c>
      <c r="F126" s="356">
        <v>9293000</v>
      </c>
      <c r="G126" s="356">
        <v>9521000</v>
      </c>
      <c r="H126" s="356">
        <v>1</v>
      </c>
      <c r="I126" s="356"/>
    </row>
    <row r="127" spans="2:10" x14ac:dyDescent="0.35">
      <c r="B127" s="356">
        <v>92</v>
      </c>
      <c r="C127" s="356" t="s">
        <v>83</v>
      </c>
      <c r="D127" s="356" t="s">
        <v>441</v>
      </c>
      <c r="E127" s="356" t="s">
        <v>442</v>
      </c>
      <c r="F127" s="356">
        <v>9300000</v>
      </c>
      <c r="G127" s="356">
        <v>9520000</v>
      </c>
      <c r="H127" s="356">
        <v>1</v>
      </c>
      <c r="I127" s="356"/>
    </row>
    <row r="128" spans="2:10" x14ac:dyDescent="0.35">
      <c r="B128" s="311">
        <v>93</v>
      </c>
      <c r="C128" s="311" t="s">
        <v>83</v>
      </c>
      <c r="D128" s="311" t="s">
        <v>83</v>
      </c>
      <c r="E128" s="311" t="s">
        <v>443</v>
      </c>
      <c r="F128" s="311">
        <v>8203000</v>
      </c>
      <c r="G128" s="311">
        <v>38750000</v>
      </c>
      <c r="H128" s="311">
        <v>1</v>
      </c>
    </row>
    <row r="129" spans="2:8" x14ac:dyDescent="0.35">
      <c r="B129" s="311">
        <v>93</v>
      </c>
      <c r="C129" s="311" t="s">
        <v>83</v>
      </c>
      <c r="D129" s="311" t="s">
        <v>83</v>
      </c>
      <c r="E129" s="311" t="s">
        <v>444</v>
      </c>
      <c r="F129" s="311">
        <v>9188000</v>
      </c>
      <c r="G129" s="311">
        <v>33100000</v>
      </c>
      <c r="H129" s="311">
        <v>1</v>
      </c>
    </row>
    <row r="130" spans="2:8" x14ac:dyDescent="0.35">
      <c r="B130" s="311">
        <v>93</v>
      </c>
      <c r="C130" s="311" t="s">
        <v>83</v>
      </c>
      <c r="D130" s="311" t="s">
        <v>377</v>
      </c>
      <c r="E130" s="311" t="s">
        <v>400</v>
      </c>
      <c r="F130" s="311">
        <v>8245000</v>
      </c>
      <c r="G130" s="311">
        <v>20030000</v>
      </c>
      <c r="H130" s="311">
        <v>1</v>
      </c>
    </row>
    <row r="131" spans="2:8" x14ac:dyDescent="0.35">
      <c r="B131" s="311">
        <v>93</v>
      </c>
      <c r="C131" s="311" t="s">
        <v>83</v>
      </c>
      <c r="D131" s="311" t="s">
        <v>364</v>
      </c>
      <c r="E131" s="311" t="s">
        <v>445</v>
      </c>
      <c r="F131" s="311">
        <v>13542000</v>
      </c>
      <c r="G131" s="311">
        <v>25536360.039999999</v>
      </c>
      <c r="H131" s="311">
        <v>1</v>
      </c>
    </row>
    <row r="132" spans="2:8" x14ac:dyDescent="0.35">
      <c r="B132" s="311">
        <v>93</v>
      </c>
      <c r="C132" s="311" t="s">
        <v>83</v>
      </c>
      <c r="D132" s="311" t="s">
        <v>401</v>
      </c>
      <c r="E132" s="311" t="s">
        <v>446</v>
      </c>
      <c r="F132" s="311">
        <v>7448000</v>
      </c>
      <c r="G132" s="311">
        <v>30175000</v>
      </c>
      <c r="H132" s="311">
        <v>1</v>
      </c>
    </row>
    <row r="133" spans="2:8" x14ac:dyDescent="0.35">
      <c r="B133" s="311">
        <v>93</v>
      </c>
      <c r="C133" s="311" t="s">
        <v>83</v>
      </c>
      <c r="D133" s="311" t="s">
        <v>441</v>
      </c>
      <c r="E133" s="311" t="s">
        <v>442</v>
      </c>
      <c r="F133" s="311">
        <v>9260000</v>
      </c>
      <c r="G133" s="311">
        <v>9600000</v>
      </c>
      <c r="H133" s="311">
        <v>1</v>
      </c>
    </row>
    <row r="134" spans="2:8" x14ac:dyDescent="0.35">
      <c r="B134" s="311">
        <v>93</v>
      </c>
      <c r="C134" s="311" t="s">
        <v>83</v>
      </c>
      <c r="D134" s="311" t="s">
        <v>89</v>
      </c>
      <c r="E134" s="311" t="s">
        <v>346</v>
      </c>
      <c r="F134" s="311">
        <v>8545142.8571428601</v>
      </c>
      <c r="G134" s="311">
        <v>21451014.428571399</v>
      </c>
      <c r="H134" s="311">
        <v>7</v>
      </c>
    </row>
    <row r="135" spans="2:8" x14ac:dyDescent="0.35">
      <c r="B135" s="311">
        <v>93</v>
      </c>
      <c r="C135" s="311" t="s">
        <v>83</v>
      </c>
      <c r="D135" s="311" t="s">
        <v>89</v>
      </c>
      <c r="E135" s="311" t="s">
        <v>69</v>
      </c>
      <c r="F135" s="311">
        <v>8985250</v>
      </c>
      <c r="G135" s="311">
        <v>16984878.247499999</v>
      </c>
      <c r="H135" s="311">
        <v>4</v>
      </c>
    </row>
    <row r="136" spans="2:8" x14ac:dyDescent="0.35">
      <c r="B136" s="311">
        <v>93</v>
      </c>
      <c r="C136" s="311" t="s">
        <v>83</v>
      </c>
      <c r="D136" s="311" t="s">
        <v>89</v>
      </c>
      <c r="E136" s="311" t="s">
        <v>432</v>
      </c>
      <c r="F136" s="311">
        <v>9300000</v>
      </c>
      <c r="G136" s="311">
        <v>9600000</v>
      </c>
      <c r="H136" s="311">
        <v>1</v>
      </c>
    </row>
    <row r="137" spans="2:8" x14ac:dyDescent="0.35">
      <c r="B137" s="311">
        <v>93</v>
      </c>
      <c r="C137" s="311" t="s">
        <v>83</v>
      </c>
      <c r="D137" s="311" t="s">
        <v>89</v>
      </c>
      <c r="E137" s="311" t="s">
        <v>330</v>
      </c>
      <c r="F137" s="311">
        <v>9280000</v>
      </c>
      <c r="G137" s="311">
        <v>9550000</v>
      </c>
      <c r="H137" s="311">
        <v>1</v>
      </c>
    </row>
    <row r="138" spans="2:8" x14ac:dyDescent="0.35">
      <c r="B138" s="311">
        <v>93</v>
      </c>
      <c r="C138" s="311" t="s">
        <v>83</v>
      </c>
      <c r="D138" s="311" t="s">
        <v>89</v>
      </c>
      <c r="E138" s="311" t="s">
        <v>433</v>
      </c>
      <c r="F138" s="311">
        <v>8161000</v>
      </c>
      <c r="G138" s="311">
        <v>11720938</v>
      </c>
      <c r="H138" s="311">
        <v>1</v>
      </c>
    </row>
    <row r="139" spans="2:8" x14ac:dyDescent="0.35">
      <c r="B139" s="311">
        <v>93</v>
      </c>
      <c r="C139" s="311" t="s">
        <v>11</v>
      </c>
      <c r="D139" s="311" t="s">
        <v>11</v>
      </c>
      <c r="E139" s="311" t="s">
        <v>11</v>
      </c>
      <c r="F139" s="311">
        <v>8376000</v>
      </c>
      <c r="G139" s="311">
        <v>8626528</v>
      </c>
      <c r="H139" s="311">
        <v>1</v>
      </c>
    </row>
    <row r="140" spans="2:8" x14ac:dyDescent="0.35">
      <c r="B140" s="311">
        <v>93</v>
      </c>
      <c r="C140" s="311" t="s">
        <v>11</v>
      </c>
      <c r="D140" s="311" t="s">
        <v>11</v>
      </c>
      <c r="E140" s="311" t="s">
        <v>83</v>
      </c>
      <c r="F140" s="311">
        <v>6692000</v>
      </c>
      <c r="G140" s="311">
        <v>40200000</v>
      </c>
      <c r="H140" s="311">
        <v>1</v>
      </c>
    </row>
    <row r="141" spans="2:8" x14ac:dyDescent="0.35">
      <c r="B141" s="311">
        <v>93</v>
      </c>
      <c r="C141" s="311" t="s">
        <v>11</v>
      </c>
      <c r="D141" s="311" t="s">
        <v>11</v>
      </c>
      <c r="E141" s="311" t="s">
        <v>447</v>
      </c>
      <c r="F141" s="311">
        <v>11608500</v>
      </c>
      <c r="G141" s="311">
        <v>11872345.75</v>
      </c>
      <c r="H141" s="311">
        <v>2</v>
      </c>
    </row>
    <row r="142" spans="2:8" x14ac:dyDescent="0.35">
      <c r="B142" s="311">
        <v>93</v>
      </c>
      <c r="C142" s="311" t="s">
        <v>11</v>
      </c>
      <c r="D142" s="311" t="s">
        <v>11</v>
      </c>
      <c r="E142" s="311" t="s">
        <v>448</v>
      </c>
      <c r="F142" s="311">
        <v>7531000</v>
      </c>
      <c r="G142" s="311">
        <v>51100000</v>
      </c>
      <c r="H142" s="311">
        <v>1</v>
      </c>
    </row>
    <row r="143" spans="2:8" x14ac:dyDescent="0.35">
      <c r="B143" s="311">
        <v>93</v>
      </c>
      <c r="C143" s="311" t="s">
        <v>11</v>
      </c>
      <c r="D143" s="311" t="s">
        <v>84</v>
      </c>
      <c r="E143" s="311" t="s">
        <v>449</v>
      </c>
      <c r="F143" s="311">
        <v>9102000</v>
      </c>
      <c r="G143" s="311">
        <v>9352168.0299999993</v>
      </c>
      <c r="H143" s="311">
        <v>1</v>
      </c>
    </row>
    <row r="144" spans="2:8" x14ac:dyDescent="0.35">
      <c r="B144" s="311">
        <v>93</v>
      </c>
      <c r="C144" s="311" t="s">
        <v>11</v>
      </c>
      <c r="D144" s="311" t="s">
        <v>84</v>
      </c>
      <c r="E144" s="311" t="s">
        <v>450</v>
      </c>
      <c r="F144" s="311">
        <v>8959000</v>
      </c>
      <c r="G144" s="311">
        <v>34004182.909999996</v>
      </c>
      <c r="H144" s="311">
        <v>1</v>
      </c>
    </row>
    <row r="145" spans="2:8" x14ac:dyDescent="0.35">
      <c r="B145" s="311">
        <v>93</v>
      </c>
      <c r="C145" s="311" t="s">
        <v>11</v>
      </c>
      <c r="D145" s="311" t="s">
        <v>84</v>
      </c>
      <c r="E145" s="311" t="s">
        <v>428</v>
      </c>
      <c r="F145" s="311">
        <v>9022500</v>
      </c>
      <c r="G145" s="311">
        <v>23472486.484999999</v>
      </c>
      <c r="H145" s="311">
        <v>2</v>
      </c>
    </row>
    <row r="146" spans="2:8" x14ac:dyDescent="0.35">
      <c r="B146" s="311">
        <v>93</v>
      </c>
      <c r="C146" s="311" t="s">
        <v>11</v>
      </c>
      <c r="D146" s="311" t="s">
        <v>84</v>
      </c>
      <c r="E146" s="311" t="s">
        <v>276</v>
      </c>
      <c r="F146" s="311">
        <v>7888000</v>
      </c>
      <c r="G146" s="311">
        <v>29427097.219999999</v>
      </c>
      <c r="H146" s="311">
        <v>2</v>
      </c>
    </row>
    <row r="147" spans="2:8" x14ac:dyDescent="0.35">
      <c r="B147" s="311">
        <v>93</v>
      </c>
      <c r="C147" s="311" t="s">
        <v>11</v>
      </c>
      <c r="D147" s="311" t="s">
        <v>70</v>
      </c>
      <c r="E147" s="311" t="s">
        <v>83</v>
      </c>
      <c r="F147" s="311">
        <v>9300000</v>
      </c>
      <c r="G147" s="311">
        <v>17476461.109999999</v>
      </c>
      <c r="H147" s="311">
        <v>1</v>
      </c>
    </row>
    <row r="148" spans="2:8" x14ac:dyDescent="0.35">
      <c r="B148" s="311">
        <v>93</v>
      </c>
      <c r="C148" s="311" t="s">
        <v>11</v>
      </c>
      <c r="D148" s="311" t="s">
        <v>70</v>
      </c>
      <c r="E148" s="311" t="s">
        <v>405</v>
      </c>
      <c r="F148" s="311">
        <v>7951000</v>
      </c>
      <c r="G148" s="311">
        <v>17773000</v>
      </c>
      <c r="H148" s="311">
        <v>1</v>
      </c>
    </row>
    <row r="149" spans="2:8" x14ac:dyDescent="0.35">
      <c r="B149" s="311">
        <v>93</v>
      </c>
      <c r="C149" s="311" t="s">
        <v>11</v>
      </c>
      <c r="D149" s="311" t="s">
        <v>70</v>
      </c>
      <c r="E149" s="311" t="s">
        <v>406</v>
      </c>
      <c r="F149" s="311">
        <v>4437500</v>
      </c>
      <c r="G149" s="311">
        <v>13461009.630000001</v>
      </c>
      <c r="H149" s="311">
        <v>2</v>
      </c>
    </row>
    <row r="150" spans="2:8" x14ac:dyDescent="0.35">
      <c r="B150" s="311">
        <v>93</v>
      </c>
      <c r="C150" s="311" t="s">
        <v>11</v>
      </c>
      <c r="D150" s="311" t="s">
        <v>415</v>
      </c>
      <c r="E150" s="311" t="s">
        <v>410</v>
      </c>
      <c r="F150" s="311">
        <v>8245000</v>
      </c>
      <c r="G150" s="311">
        <v>43200000</v>
      </c>
      <c r="H150" s="311">
        <v>1</v>
      </c>
    </row>
    <row r="151" spans="2:8" x14ac:dyDescent="0.35">
      <c r="B151" s="311">
        <v>93</v>
      </c>
      <c r="C151" s="311" t="s">
        <v>11</v>
      </c>
      <c r="D151" s="311" t="s">
        <v>451</v>
      </c>
      <c r="E151" s="311" t="s">
        <v>452</v>
      </c>
      <c r="F151" s="311">
        <v>6776000</v>
      </c>
      <c r="G151" s="311">
        <v>17630000.739999998</v>
      </c>
      <c r="H151" s="311">
        <v>1</v>
      </c>
    </row>
    <row r="152" spans="2:8" x14ac:dyDescent="0.35">
      <c r="B152" s="311">
        <v>93</v>
      </c>
      <c r="C152" s="311" t="s">
        <v>11</v>
      </c>
      <c r="D152" s="311" t="s">
        <v>347</v>
      </c>
      <c r="E152" s="311" t="s">
        <v>62</v>
      </c>
      <c r="F152" s="311">
        <v>8245000</v>
      </c>
      <c r="G152" s="311">
        <v>33964539.869999997</v>
      </c>
      <c r="H152" s="311">
        <v>1</v>
      </c>
    </row>
    <row r="153" spans="2:8" x14ac:dyDescent="0.35">
      <c r="B153" s="311">
        <v>93</v>
      </c>
      <c r="C153" s="311" t="s">
        <v>11</v>
      </c>
      <c r="D153" s="311" t="s">
        <v>347</v>
      </c>
      <c r="E153" s="311" t="s">
        <v>445</v>
      </c>
      <c r="F153" s="311">
        <v>6776000</v>
      </c>
      <c r="G153" s="311">
        <v>28505150</v>
      </c>
      <c r="H153" s="311">
        <v>1</v>
      </c>
    </row>
    <row r="154" spans="2:8" x14ac:dyDescent="0.35">
      <c r="B154" s="311">
        <v>93</v>
      </c>
      <c r="C154" s="311" t="s">
        <v>11</v>
      </c>
      <c r="D154" s="311" t="s">
        <v>347</v>
      </c>
      <c r="E154" s="311" t="s">
        <v>348</v>
      </c>
      <c r="F154" s="311">
        <v>8455000</v>
      </c>
      <c r="G154" s="311">
        <v>14525604.984999999</v>
      </c>
      <c r="H154" s="311">
        <v>2</v>
      </c>
    </row>
    <row r="155" spans="2:8" x14ac:dyDescent="0.35">
      <c r="B155" s="311">
        <v>93</v>
      </c>
      <c r="C155" s="311" t="s">
        <v>11</v>
      </c>
      <c r="D155" s="311" t="s">
        <v>347</v>
      </c>
      <c r="E155" s="311" t="s">
        <v>453</v>
      </c>
      <c r="F155" s="311">
        <v>7195500</v>
      </c>
      <c r="G155" s="311">
        <v>30880924.23</v>
      </c>
      <c r="H155" s="311">
        <v>2</v>
      </c>
    </row>
    <row r="156" spans="2:8" x14ac:dyDescent="0.35">
      <c r="B156" s="311">
        <v>93</v>
      </c>
      <c r="C156" s="311" t="s">
        <v>11</v>
      </c>
      <c r="D156" s="311" t="s">
        <v>379</v>
      </c>
      <c r="E156" s="311" t="s">
        <v>407</v>
      </c>
      <c r="F156" s="311">
        <v>6230000</v>
      </c>
      <c r="G156" s="311">
        <v>37425000</v>
      </c>
      <c r="H156" s="311">
        <v>1</v>
      </c>
    </row>
    <row r="157" spans="2:8" x14ac:dyDescent="0.35">
      <c r="B157" s="311">
        <v>93</v>
      </c>
      <c r="C157" s="311" t="s">
        <v>11</v>
      </c>
      <c r="D157" s="311" t="s">
        <v>362</v>
      </c>
      <c r="E157" s="311" t="s">
        <v>362</v>
      </c>
      <c r="F157" s="311">
        <v>9017666.6666666698</v>
      </c>
      <c r="G157" s="311">
        <v>22391333.333333299</v>
      </c>
      <c r="H157" s="311">
        <v>3</v>
      </c>
    </row>
    <row r="158" spans="2:8" x14ac:dyDescent="0.35">
      <c r="B158" s="311">
        <v>93</v>
      </c>
      <c r="C158" s="311" t="s">
        <v>11</v>
      </c>
      <c r="D158" s="311" t="s">
        <v>77</v>
      </c>
      <c r="E158" s="311" t="s">
        <v>408</v>
      </c>
      <c r="F158" s="311">
        <v>9240666.6666666698</v>
      </c>
      <c r="G158" s="311">
        <v>22679047.0466667</v>
      </c>
      <c r="H158" s="311">
        <v>3</v>
      </c>
    </row>
    <row r="159" spans="2:8" x14ac:dyDescent="0.35">
      <c r="B159" s="311">
        <v>93</v>
      </c>
      <c r="C159" s="311" t="s">
        <v>11</v>
      </c>
      <c r="D159" s="311" t="s">
        <v>77</v>
      </c>
      <c r="E159" s="311" t="s">
        <v>78</v>
      </c>
      <c r="F159" s="311">
        <v>9267000</v>
      </c>
      <c r="G159" s="311">
        <v>10504153.380000001</v>
      </c>
      <c r="H159" s="311">
        <v>1</v>
      </c>
    </row>
    <row r="160" spans="2:8" x14ac:dyDescent="0.35">
      <c r="B160" s="311">
        <v>93</v>
      </c>
      <c r="C160" s="311" t="s">
        <v>11</v>
      </c>
      <c r="D160" s="311" t="s">
        <v>77</v>
      </c>
      <c r="E160" s="311" t="s">
        <v>82</v>
      </c>
      <c r="F160" s="311">
        <v>8390500</v>
      </c>
      <c r="G160" s="311">
        <v>25725500</v>
      </c>
      <c r="H160" s="311">
        <v>2</v>
      </c>
    </row>
    <row r="161" spans="2:8" x14ac:dyDescent="0.35">
      <c r="B161" s="311">
        <v>93</v>
      </c>
      <c r="C161" s="311" t="s">
        <v>11</v>
      </c>
      <c r="D161" s="311" t="s">
        <v>77</v>
      </c>
      <c r="E161" s="311" t="s">
        <v>454</v>
      </c>
      <c r="F161" s="311">
        <v>8369666.6666666698</v>
      </c>
      <c r="G161" s="311">
        <v>12478024.0233333</v>
      </c>
      <c r="H161" s="311">
        <v>3</v>
      </c>
    </row>
    <row r="162" spans="2:8" x14ac:dyDescent="0.35">
      <c r="B162" s="311">
        <v>93</v>
      </c>
      <c r="C162" s="311" t="s">
        <v>11</v>
      </c>
      <c r="D162" s="311" t="s">
        <v>77</v>
      </c>
      <c r="E162" s="311" t="s">
        <v>455</v>
      </c>
      <c r="F162" s="311">
        <v>8665000</v>
      </c>
      <c r="G162" s="311">
        <v>19543000</v>
      </c>
      <c r="H162" s="311">
        <v>1</v>
      </c>
    </row>
    <row r="163" spans="2:8" x14ac:dyDescent="0.35">
      <c r="B163" s="311">
        <v>93</v>
      </c>
      <c r="C163" s="311" t="s">
        <v>11</v>
      </c>
      <c r="D163" s="311" t="s">
        <v>77</v>
      </c>
      <c r="E163" s="311" t="s">
        <v>349</v>
      </c>
      <c r="F163" s="311">
        <v>9300000</v>
      </c>
      <c r="G163" s="311">
        <v>9650000</v>
      </c>
      <c r="H163" s="311">
        <v>1</v>
      </c>
    </row>
    <row r="164" spans="2:8" x14ac:dyDescent="0.35">
      <c r="B164" s="311">
        <v>93</v>
      </c>
      <c r="C164" s="311" t="s">
        <v>11</v>
      </c>
      <c r="D164" s="311" t="s">
        <v>77</v>
      </c>
      <c r="E164" s="311" t="s">
        <v>456</v>
      </c>
      <c r="F164" s="311">
        <v>10424500</v>
      </c>
      <c r="G164" s="311">
        <v>22456181.842500001</v>
      </c>
      <c r="H164" s="311">
        <v>4</v>
      </c>
    </row>
    <row r="165" spans="2:8" x14ac:dyDescent="0.35">
      <c r="B165" s="311">
        <v>93</v>
      </c>
      <c r="C165" s="311" t="s">
        <v>11</v>
      </c>
      <c r="D165" s="311" t="s">
        <v>457</v>
      </c>
      <c r="E165" s="311" t="s">
        <v>458</v>
      </c>
      <c r="F165" s="311">
        <v>9234000</v>
      </c>
      <c r="G165" s="311">
        <v>22119002.93</v>
      </c>
      <c r="H165" s="311">
        <v>1</v>
      </c>
    </row>
    <row r="166" spans="2:8" x14ac:dyDescent="0.35">
      <c r="B166" s="311">
        <v>93</v>
      </c>
      <c r="C166" s="311" t="s">
        <v>11</v>
      </c>
      <c r="D166" s="311" t="s">
        <v>71</v>
      </c>
      <c r="E166" s="311" t="s">
        <v>459</v>
      </c>
      <c r="F166" s="311">
        <v>9085000</v>
      </c>
      <c r="G166" s="311">
        <v>9550000</v>
      </c>
      <c r="H166" s="311">
        <v>1</v>
      </c>
    </row>
    <row r="167" spans="2:8" x14ac:dyDescent="0.35">
      <c r="B167" s="311">
        <v>93</v>
      </c>
      <c r="C167" s="311" t="s">
        <v>11</v>
      </c>
      <c r="D167" s="311" t="s">
        <v>277</v>
      </c>
      <c r="E167" s="311" t="s">
        <v>460</v>
      </c>
      <c r="F167" s="311">
        <v>9127000</v>
      </c>
      <c r="G167" s="311">
        <v>12137192.810000001</v>
      </c>
      <c r="H167" s="311">
        <v>1</v>
      </c>
    </row>
    <row r="168" spans="2:8" x14ac:dyDescent="0.35">
      <c r="B168" s="311">
        <v>93</v>
      </c>
      <c r="C168" s="311" t="s">
        <v>12</v>
      </c>
      <c r="D168" s="311" t="s">
        <v>72</v>
      </c>
      <c r="E168" s="311" t="s">
        <v>370</v>
      </c>
      <c r="F168" s="311">
        <v>9300000</v>
      </c>
      <c r="G168" s="311">
        <v>9550000</v>
      </c>
      <c r="H168" s="311">
        <v>1</v>
      </c>
    </row>
    <row r="169" spans="2:8" x14ac:dyDescent="0.35">
      <c r="B169" s="311">
        <v>93</v>
      </c>
      <c r="C169" s="311" t="s">
        <v>12</v>
      </c>
      <c r="D169" s="311" t="s">
        <v>72</v>
      </c>
      <c r="E169" s="311" t="s">
        <v>461</v>
      </c>
      <c r="F169" s="311">
        <v>9273000</v>
      </c>
      <c r="G169" s="311">
        <v>9649949.7699999996</v>
      </c>
      <c r="H169" s="311">
        <v>1</v>
      </c>
    </row>
    <row r="170" spans="2:8" x14ac:dyDescent="0.35">
      <c r="B170" s="311">
        <v>93</v>
      </c>
      <c r="C170" s="311" t="s">
        <v>13</v>
      </c>
      <c r="D170" s="311" t="s">
        <v>13</v>
      </c>
      <c r="E170" s="311" t="s">
        <v>462</v>
      </c>
      <c r="F170" s="311">
        <v>7216000</v>
      </c>
      <c r="G170" s="311">
        <v>7516776</v>
      </c>
      <c r="H170" s="311">
        <v>1</v>
      </c>
    </row>
    <row r="171" spans="2:8" x14ac:dyDescent="0.35">
      <c r="B171" s="311">
        <v>93</v>
      </c>
      <c r="C171" s="311" t="s">
        <v>13</v>
      </c>
      <c r="D171" s="311" t="s">
        <v>365</v>
      </c>
      <c r="E171" s="311" t="s">
        <v>385</v>
      </c>
      <c r="F171" s="311">
        <v>7448000</v>
      </c>
      <c r="G171" s="311">
        <v>26395000</v>
      </c>
      <c r="H171" s="311">
        <v>1</v>
      </c>
    </row>
    <row r="172" spans="2:8" x14ac:dyDescent="0.35">
      <c r="B172" s="311">
        <v>93</v>
      </c>
      <c r="C172" s="311" t="s">
        <v>13</v>
      </c>
      <c r="D172" s="311" t="s">
        <v>86</v>
      </c>
      <c r="E172" s="311" t="s">
        <v>331</v>
      </c>
      <c r="F172" s="311">
        <v>9273000</v>
      </c>
      <c r="G172" s="311">
        <v>18973000</v>
      </c>
      <c r="H172" s="311">
        <v>1</v>
      </c>
    </row>
    <row r="173" spans="2:8" x14ac:dyDescent="0.35">
      <c r="B173" s="311">
        <v>93</v>
      </c>
      <c r="C173" s="311" t="s">
        <v>63</v>
      </c>
      <c r="D173" s="311" t="s">
        <v>275</v>
      </c>
      <c r="E173" s="311" t="s">
        <v>275</v>
      </c>
      <c r="F173" s="311">
        <v>9260000</v>
      </c>
      <c r="G173" s="311">
        <v>9550000</v>
      </c>
      <c r="H173" s="311">
        <v>1</v>
      </c>
    </row>
    <row r="174" spans="2:8" x14ac:dyDescent="0.35">
      <c r="B174" s="311">
        <v>93</v>
      </c>
      <c r="C174" s="311" t="s">
        <v>63</v>
      </c>
      <c r="D174" s="311" t="s">
        <v>350</v>
      </c>
      <c r="E174" s="311" t="s">
        <v>350</v>
      </c>
      <c r="F174" s="311">
        <v>9300000</v>
      </c>
      <c r="G174" s="311">
        <v>9550000</v>
      </c>
      <c r="H174" s="311">
        <v>1</v>
      </c>
    </row>
    <row r="175" spans="2:8" x14ac:dyDescent="0.35">
      <c r="B175" s="311">
        <v>93</v>
      </c>
      <c r="C175" s="311" t="s">
        <v>63</v>
      </c>
      <c r="D175" s="311" t="s">
        <v>350</v>
      </c>
      <c r="E175" s="311" t="s">
        <v>463</v>
      </c>
      <c r="F175" s="311">
        <v>9227000</v>
      </c>
      <c r="G175" s="311">
        <v>9600004.4000000004</v>
      </c>
      <c r="H175" s="311">
        <v>1</v>
      </c>
    </row>
    <row r="176" spans="2:8" x14ac:dyDescent="0.35">
      <c r="B176" s="311">
        <v>93</v>
      </c>
      <c r="C176" s="311" t="s">
        <v>63</v>
      </c>
      <c r="D176" s="311" t="s">
        <v>350</v>
      </c>
      <c r="E176" s="311" t="s">
        <v>411</v>
      </c>
      <c r="F176" s="311">
        <v>7699000</v>
      </c>
      <c r="G176" s="311">
        <v>19284000</v>
      </c>
      <c r="H176" s="311">
        <v>1</v>
      </c>
    </row>
    <row r="177" spans="2:8" x14ac:dyDescent="0.35">
      <c r="B177" s="311">
        <v>93</v>
      </c>
      <c r="C177" s="311" t="s">
        <v>63</v>
      </c>
      <c r="D177" s="311" t="s">
        <v>414</v>
      </c>
      <c r="E177" s="311" t="s">
        <v>414</v>
      </c>
      <c r="F177" s="311">
        <v>9182000</v>
      </c>
      <c r="G177" s="311">
        <v>18600000</v>
      </c>
      <c r="H177" s="311">
        <v>1</v>
      </c>
    </row>
    <row r="178" spans="2:8" x14ac:dyDescent="0.35">
      <c r="B178" s="311">
        <v>93</v>
      </c>
      <c r="C178" s="311" t="s">
        <v>63</v>
      </c>
      <c r="D178" s="311" t="s">
        <v>294</v>
      </c>
      <c r="E178" s="311" t="s">
        <v>390</v>
      </c>
      <c r="F178" s="311">
        <v>9195666.6666666698</v>
      </c>
      <c r="G178" s="311">
        <v>11983334.800000001</v>
      </c>
      <c r="H178" s="311">
        <v>3</v>
      </c>
    </row>
    <row r="179" spans="2:8" x14ac:dyDescent="0.35">
      <c r="B179" s="311">
        <v>93</v>
      </c>
      <c r="C179" s="311" t="s">
        <v>63</v>
      </c>
      <c r="D179" s="311" t="s">
        <v>371</v>
      </c>
      <c r="E179" s="311" t="s">
        <v>372</v>
      </c>
      <c r="F179" s="311">
        <v>8670000</v>
      </c>
      <c r="G179" s="311">
        <v>10925000</v>
      </c>
      <c r="H179" s="311">
        <v>2</v>
      </c>
    </row>
    <row r="180" spans="2:8" x14ac:dyDescent="0.35">
      <c r="B180" s="311">
        <v>93</v>
      </c>
      <c r="C180" s="311" t="s">
        <v>63</v>
      </c>
      <c r="D180" s="311" t="s">
        <v>332</v>
      </c>
      <c r="E180" s="311" t="s">
        <v>332</v>
      </c>
      <c r="F180" s="311">
        <v>9300000</v>
      </c>
      <c r="G180" s="311">
        <v>9600000</v>
      </c>
      <c r="H180" s="311">
        <v>1</v>
      </c>
    </row>
    <row r="181" spans="2:8" x14ac:dyDescent="0.35">
      <c r="B181" s="311">
        <v>93</v>
      </c>
      <c r="C181" s="311" t="s">
        <v>64</v>
      </c>
      <c r="D181" s="311" t="s">
        <v>64</v>
      </c>
      <c r="E181" s="311" t="s">
        <v>308</v>
      </c>
      <c r="F181" s="311">
        <v>9182000</v>
      </c>
      <c r="G181" s="311">
        <v>18450000</v>
      </c>
      <c r="H181" s="311">
        <v>1</v>
      </c>
    </row>
    <row r="182" spans="2:8" x14ac:dyDescent="0.35">
      <c r="B182" s="311">
        <v>93</v>
      </c>
      <c r="C182" s="311" t="s">
        <v>64</v>
      </c>
      <c r="D182" s="311" t="s">
        <v>64</v>
      </c>
      <c r="E182" s="311" t="s">
        <v>338</v>
      </c>
      <c r="F182" s="311">
        <v>9300000</v>
      </c>
      <c r="G182" s="311">
        <v>9600000</v>
      </c>
      <c r="H182" s="311">
        <v>1</v>
      </c>
    </row>
    <row r="183" spans="2:8" x14ac:dyDescent="0.35">
      <c r="B183" s="311">
        <v>93</v>
      </c>
      <c r="C183" s="311" t="s">
        <v>64</v>
      </c>
      <c r="D183" s="311" t="s">
        <v>64</v>
      </c>
      <c r="E183" s="311" t="s">
        <v>464</v>
      </c>
      <c r="F183" s="311">
        <v>9300000</v>
      </c>
      <c r="G183" s="311">
        <v>9600000</v>
      </c>
      <c r="H183" s="311">
        <v>1</v>
      </c>
    </row>
    <row r="184" spans="2:8" x14ac:dyDescent="0.35">
      <c r="B184" s="311">
        <v>93</v>
      </c>
      <c r="C184" s="311" t="s">
        <v>64</v>
      </c>
      <c r="D184" s="311" t="s">
        <v>64</v>
      </c>
      <c r="E184" s="311" t="s">
        <v>351</v>
      </c>
      <c r="F184" s="311">
        <v>9085000</v>
      </c>
      <c r="G184" s="311">
        <v>23280000</v>
      </c>
      <c r="H184" s="311">
        <v>1</v>
      </c>
    </row>
    <row r="185" spans="2:8" x14ac:dyDescent="0.35">
      <c r="B185" s="311">
        <v>93</v>
      </c>
      <c r="C185" s="311" t="s">
        <v>64</v>
      </c>
      <c r="D185" s="311" t="s">
        <v>64</v>
      </c>
      <c r="E185" s="311" t="s">
        <v>342</v>
      </c>
      <c r="F185" s="311">
        <v>9247000</v>
      </c>
      <c r="G185" s="311">
        <v>18247000</v>
      </c>
      <c r="H185" s="311">
        <v>1</v>
      </c>
    </row>
    <row r="186" spans="2:8" x14ac:dyDescent="0.35">
      <c r="B186" s="311">
        <v>93</v>
      </c>
      <c r="C186" s="311" t="s">
        <v>64</v>
      </c>
      <c r="D186" s="311" t="s">
        <v>374</v>
      </c>
      <c r="E186" s="311" t="s">
        <v>465</v>
      </c>
      <c r="F186" s="311">
        <v>9208000</v>
      </c>
      <c r="G186" s="311">
        <v>20100000</v>
      </c>
      <c r="H186" s="311">
        <v>1</v>
      </c>
    </row>
    <row r="187" spans="2:8" x14ac:dyDescent="0.35">
      <c r="B187" s="311">
        <v>93</v>
      </c>
      <c r="C187" s="311" t="s">
        <v>64</v>
      </c>
      <c r="D187" s="311" t="s">
        <v>62</v>
      </c>
      <c r="E187" s="311" t="s">
        <v>62</v>
      </c>
      <c r="F187" s="311">
        <v>10750333.3333333</v>
      </c>
      <c r="G187" s="311">
        <v>15117000</v>
      </c>
      <c r="H187" s="311">
        <v>3</v>
      </c>
    </row>
    <row r="188" spans="2:8" x14ac:dyDescent="0.35">
      <c r="B188" s="311">
        <v>93</v>
      </c>
      <c r="C188" s="311" t="s">
        <v>64</v>
      </c>
      <c r="D188" s="311" t="s">
        <v>62</v>
      </c>
      <c r="E188" s="311" t="s">
        <v>435</v>
      </c>
      <c r="F188" s="311">
        <v>9260000</v>
      </c>
      <c r="G188" s="311">
        <v>9550000</v>
      </c>
      <c r="H188" s="311">
        <v>1</v>
      </c>
    </row>
    <row r="189" spans="2:8" x14ac:dyDescent="0.35">
      <c r="B189" s="311">
        <v>93</v>
      </c>
      <c r="C189" s="311" t="s">
        <v>64</v>
      </c>
      <c r="D189" s="311" t="s">
        <v>65</v>
      </c>
      <c r="E189" s="311" t="s">
        <v>92</v>
      </c>
      <c r="F189" s="311">
        <v>6955666.6666666698</v>
      </c>
      <c r="G189" s="311">
        <v>10389305.633333299</v>
      </c>
      <c r="H189" s="311">
        <v>3</v>
      </c>
    </row>
    <row r="190" spans="2:8" x14ac:dyDescent="0.35">
      <c r="B190" s="311">
        <v>93</v>
      </c>
      <c r="C190" s="311" t="s">
        <v>64</v>
      </c>
      <c r="D190" s="311" t="s">
        <v>65</v>
      </c>
      <c r="E190" s="311" t="s">
        <v>466</v>
      </c>
      <c r="F190" s="311">
        <v>9300000</v>
      </c>
      <c r="G190" s="311">
        <v>9550000</v>
      </c>
      <c r="H190" s="311">
        <v>1</v>
      </c>
    </row>
    <row r="191" spans="2:8" x14ac:dyDescent="0.35">
      <c r="B191" s="311">
        <v>93</v>
      </c>
      <c r="C191" s="311" t="s">
        <v>64</v>
      </c>
      <c r="D191" s="311" t="s">
        <v>65</v>
      </c>
      <c r="E191" s="311" t="s">
        <v>436</v>
      </c>
      <c r="F191" s="311">
        <v>9300000</v>
      </c>
      <c r="G191" s="311">
        <v>10042000</v>
      </c>
      <c r="H191" s="311">
        <v>1</v>
      </c>
    </row>
    <row r="192" spans="2:8" x14ac:dyDescent="0.35">
      <c r="B192" s="311">
        <v>93</v>
      </c>
      <c r="C192" s="311" t="s">
        <v>64</v>
      </c>
      <c r="D192" s="311" t="s">
        <v>74</v>
      </c>
      <c r="E192" s="311" t="s">
        <v>431</v>
      </c>
      <c r="F192" s="311">
        <v>9175000</v>
      </c>
      <c r="G192" s="311">
        <v>26000000</v>
      </c>
      <c r="H192" s="311">
        <v>1</v>
      </c>
    </row>
    <row r="193" spans="2:8" x14ac:dyDescent="0.35">
      <c r="B193" s="311">
        <v>93</v>
      </c>
      <c r="C193" s="311" t="s">
        <v>64</v>
      </c>
      <c r="D193" s="311" t="s">
        <v>74</v>
      </c>
      <c r="E193" s="311" t="s">
        <v>80</v>
      </c>
      <c r="F193" s="311">
        <v>4650000</v>
      </c>
      <c r="G193" s="311">
        <v>9600000</v>
      </c>
      <c r="H193" s="311">
        <v>2</v>
      </c>
    </row>
    <row r="194" spans="2:8" x14ac:dyDescent="0.35">
      <c r="B194" s="311">
        <v>93</v>
      </c>
      <c r="C194" s="311" t="s">
        <v>64</v>
      </c>
      <c r="D194" s="311" t="s">
        <v>335</v>
      </c>
      <c r="E194" s="311" t="s">
        <v>355</v>
      </c>
      <c r="F194" s="311">
        <v>9300000</v>
      </c>
      <c r="G194" s="311">
        <v>9700000</v>
      </c>
      <c r="H194" s="311">
        <v>2</v>
      </c>
    </row>
    <row r="195" spans="2:8" x14ac:dyDescent="0.35">
      <c r="B195" s="311">
        <v>93</v>
      </c>
      <c r="C195" s="311" t="s">
        <v>85</v>
      </c>
      <c r="D195" s="311" t="s">
        <v>85</v>
      </c>
      <c r="E195" s="311" t="s">
        <v>467</v>
      </c>
      <c r="F195" s="311">
        <v>9221000</v>
      </c>
      <c r="G195" s="311">
        <v>23760000</v>
      </c>
      <c r="H195" s="311">
        <v>1</v>
      </c>
    </row>
    <row r="196" spans="2:8" x14ac:dyDescent="0.35">
      <c r="B196" s="311">
        <v>93</v>
      </c>
      <c r="C196" s="311" t="s">
        <v>85</v>
      </c>
      <c r="D196" s="311" t="s">
        <v>87</v>
      </c>
      <c r="E196" s="311" t="s">
        <v>91</v>
      </c>
      <c r="F196" s="311">
        <v>9267000</v>
      </c>
      <c r="G196" s="311">
        <v>13657762.869999999</v>
      </c>
      <c r="H196" s="311">
        <v>1</v>
      </c>
    </row>
    <row r="197" spans="2:8" x14ac:dyDescent="0.35">
      <c r="B197" s="311">
        <v>93</v>
      </c>
      <c r="C197" s="311" t="s">
        <v>85</v>
      </c>
      <c r="D197" s="311" t="s">
        <v>87</v>
      </c>
      <c r="E197" s="311" t="s">
        <v>281</v>
      </c>
      <c r="F197" s="311">
        <v>9260000</v>
      </c>
      <c r="G197" s="311">
        <v>23725000</v>
      </c>
      <c r="H197" s="311">
        <v>1</v>
      </c>
    </row>
    <row r="198" spans="2:8" x14ac:dyDescent="0.35">
      <c r="B198" s="311">
        <v>93</v>
      </c>
      <c r="C198" s="311" t="s">
        <v>85</v>
      </c>
      <c r="D198" s="311" t="s">
        <v>87</v>
      </c>
      <c r="E198" s="311" t="s">
        <v>67</v>
      </c>
      <c r="F198" s="311">
        <v>9300000</v>
      </c>
      <c r="G198" s="311">
        <v>9575000</v>
      </c>
      <c r="H198" s="311">
        <v>2</v>
      </c>
    </row>
    <row r="199" spans="2:8" x14ac:dyDescent="0.35">
      <c r="B199" s="311">
        <v>93</v>
      </c>
      <c r="C199" s="311" t="s">
        <v>85</v>
      </c>
      <c r="D199" s="311" t="s">
        <v>393</v>
      </c>
      <c r="E199" s="311" t="s">
        <v>393</v>
      </c>
      <c r="F199" s="311">
        <v>9175000</v>
      </c>
      <c r="G199" s="311">
        <v>30650000</v>
      </c>
      <c r="H199" s="311">
        <v>1</v>
      </c>
    </row>
    <row r="200" spans="2:8" x14ac:dyDescent="0.35">
      <c r="B200" s="311">
        <v>93</v>
      </c>
      <c r="C200" s="311" t="s">
        <v>85</v>
      </c>
      <c r="D200" s="311" t="s">
        <v>393</v>
      </c>
      <c r="E200" s="311" t="s">
        <v>468</v>
      </c>
      <c r="F200" s="311">
        <v>11370500</v>
      </c>
      <c r="G200" s="311">
        <v>13925500</v>
      </c>
      <c r="H200" s="311">
        <v>2</v>
      </c>
    </row>
    <row r="201" spans="2:8" x14ac:dyDescent="0.35">
      <c r="B201" s="311">
        <v>93</v>
      </c>
      <c r="C201" s="311" t="s">
        <v>85</v>
      </c>
      <c r="D201" s="311" t="s">
        <v>270</v>
      </c>
      <c r="E201" s="311" t="s">
        <v>469</v>
      </c>
      <c r="F201" s="311">
        <v>9273000</v>
      </c>
      <c r="G201" s="311">
        <v>9578819.4199999999</v>
      </c>
      <c r="H201" s="311">
        <v>1</v>
      </c>
    </row>
    <row r="202" spans="2:8" x14ac:dyDescent="0.35">
      <c r="B202" s="311">
        <v>93</v>
      </c>
      <c r="C202" s="311" t="s">
        <v>85</v>
      </c>
      <c r="D202" s="311" t="s">
        <v>274</v>
      </c>
      <c r="E202" s="311" t="s">
        <v>274</v>
      </c>
      <c r="F202" s="311">
        <v>8917000</v>
      </c>
      <c r="G202" s="311">
        <v>14515336.960000001</v>
      </c>
      <c r="H202" s="311">
        <v>1</v>
      </c>
    </row>
    <row r="203" spans="2:8" x14ac:dyDescent="0.35">
      <c r="B203" s="311">
        <v>93</v>
      </c>
      <c r="C203" s="311" t="s">
        <v>85</v>
      </c>
      <c r="D203" s="311" t="s">
        <v>274</v>
      </c>
      <c r="E203" s="311" t="s">
        <v>307</v>
      </c>
      <c r="F203" s="311">
        <v>6776000</v>
      </c>
      <c r="G203" s="311">
        <v>17401000</v>
      </c>
      <c r="H203" s="311">
        <v>1</v>
      </c>
    </row>
    <row r="204" spans="2:8" x14ac:dyDescent="0.35">
      <c r="B204" s="311">
        <v>93</v>
      </c>
      <c r="C204" s="311" t="s">
        <v>85</v>
      </c>
      <c r="D204" s="311" t="s">
        <v>88</v>
      </c>
      <c r="E204" s="311" t="s">
        <v>88</v>
      </c>
      <c r="F204" s="311">
        <v>9260000</v>
      </c>
      <c r="G204" s="311">
        <v>9550000</v>
      </c>
      <c r="H204" s="311">
        <v>1</v>
      </c>
    </row>
    <row r="205" spans="2:8" x14ac:dyDescent="0.35">
      <c r="B205" s="311">
        <v>93</v>
      </c>
      <c r="C205" s="311" t="s">
        <v>85</v>
      </c>
      <c r="D205" s="311" t="s">
        <v>88</v>
      </c>
      <c r="E205" s="311" t="s">
        <v>358</v>
      </c>
      <c r="F205" s="311">
        <v>8940500</v>
      </c>
      <c r="G205" s="311">
        <v>12812500</v>
      </c>
      <c r="H205" s="311">
        <v>2</v>
      </c>
    </row>
    <row r="206" spans="2:8" x14ac:dyDescent="0.35">
      <c r="B206" s="311">
        <v>93</v>
      </c>
      <c r="C206" s="311" t="s">
        <v>85</v>
      </c>
      <c r="D206" s="311" t="s">
        <v>88</v>
      </c>
      <c r="E206" s="311" t="s">
        <v>288</v>
      </c>
      <c r="F206" s="311">
        <v>8917000</v>
      </c>
      <c r="G206" s="311">
        <v>9293000</v>
      </c>
      <c r="H206" s="311">
        <v>1</v>
      </c>
    </row>
    <row r="207" spans="2:8" x14ac:dyDescent="0.35">
      <c r="B207" s="311">
        <v>96</v>
      </c>
      <c r="C207" s="311" t="s">
        <v>63</v>
      </c>
      <c r="D207" s="311" t="s">
        <v>371</v>
      </c>
      <c r="E207" s="311" t="s">
        <v>371</v>
      </c>
      <c r="F207" s="311">
        <v>8245000</v>
      </c>
      <c r="G207" s="311">
        <v>34571535.225000001</v>
      </c>
      <c r="H207" s="311">
        <v>2</v>
      </c>
    </row>
    <row r="208" spans="2:8" x14ac:dyDescent="0.35">
      <c r="B208" s="311">
        <v>101</v>
      </c>
      <c r="C208" s="311" t="s">
        <v>11</v>
      </c>
      <c r="D208" s="311" t="s">
        <v>77</v>
      </c>
      <c r="E208" s="311" t="s">
        <v>408</v>
      </c>
      <c r="F208" s="311">
        <v>9260000</v>
      </c>
      <c r="G208" s="311">
        <v>9560000</v>
      </c>
      <c r="H208" s="311">
        <v>1</v>
      </c>
    </row>
    <row r="209" spans="2:8" x14ac:dyDescent="0.35">
      <c r="B209" s="311">
        <v>101</v>
      </c>
      <c r="C209" s="311" t="s">
        <v>12</v>
      </c>
      <c r="D209" s="311" t="s">
        <v>72</v>
      </c>
      <c r="E209" s="311" t="s">
        <v>298</v>
      </c>
      <c r="F209" s="311">
        <v>9300000</v>
      </c>
      <c r="G209" s="311">
        <v>9560000</v>
      </c>
      <c r="H209" s="311">
        <v>1</v>
      </c>
    </row>
    <row r="210" spans="2:8" x14ac:dyDescent="0.35">
      <c r="B210" s="311">
        <v>101</v>
      </c>
      <c r="C210" s="311" t="s">
        <v>13</v>
      </c>
      <c r="D210" s="311" t="s">
        <v>86</v>
      </c>
      <c r="E210" s="311" t="s">
        <v>331</v>
      </c>
      <c r="F210" s="311">
        <v>8581000</v>
      </c>
      <c r="G210" s="311">
        <v>8866000</v>
      </c>
      <c r="H210" s="311">
        <v>1</v>
      </c>
    </row>
    <row r="211" spans="2:8" x14ac:dyDescent="0.35">
      <c r="B211" s="311">
        <v>101</v>
      </c>
      <c r="C211" s="311" t="s">
        <v>13</v>
      </c>
      <c r="D211" s="311" t="s">
        <v>86</v>
      </c>
      <c r="E211" s="311" t="s">
        <v>280</v>
      </c>
      <c r="F211" s="311">
        <v>13950000</v>
      </c>
      <c r="G211" s="311">
        <v>14335000</v>
      </c>
      <c r="H211" s="311">
        <v>1</v>
      </c>
    </row>
    <row r="212" spans="2:8" x14ac:dyDescent="0.35">
      <c r="B212" s="311">
        <v>116</v>
      </c>
      <c r="C212" s="311" t="s">
        <v>11</v>
      </c>
      <c r="D212" s="311" t="s">
        <v>84</v>
      </c>
      <c r="E212" s="311" t="s">
        <v>450</v>
      </c>
      <c r="F212" s="311">
        <v>9201000</v>
      </c>
      <c r="G212" s="311">
        <v>9466650.4199999999</v>
      </c>
      <c r="H212" s="311">
        <v>1</v>
      </c>
    </row>
    <row r="213" spans="2:8" x14ac:dyDescent="0.35">
      <c r="B213" s="311">
        <v>116</v>
      </c>
      <c r="C213" s="311" t="s">
        <v>11</v>
      </c>
      <c r="D213" s="311" t="s">
        <v>84</v>
      </c>
      <c r="E213" s="311" t="s">
        <v>276</v>
      </c>
      <c r="F213" s="311">
        <v>8628000</v>
      </c>
      <c r="G213" s="311">
        <v>9466650.4199999999</v>
      </c>
      <c r="H213" s="311">
        <v>2</v>
      </c>
    </row>
    <row r="214" spans="2:8" x14ac:dyDescent="0.35">
      <c r="B214" s="311">
        <v>116</v>
      </c>
      <c r="C214" s="311" t="s">
        <v>11</v>
      </c>
      <c r="D214" s="311" t="s">
        <v>84</v>
      </c>
      <c r="E214" s="311" t="s">
        <v>440</v>
      </c>
      <c r="F214" s="311">
        <v>9221000</v>
      </c>
      <c r="G214" s="311">
        <v>9466650.4199999999</v>
      </c>
      <c r="H214" s="311">
        <v>1</v>
      </c>
    </row>
    <row r="215" spans="2:8" x14ac:dyDescent="0.35">
      <c r="B215" s="311">
        <v>116</v>
      </c>
      <c r="C215" s="311" t="s">
        <v>11</v>
      </c>
      <c r="D215" s="311" t="s">
        <v>310</v>
      </c>
      <c r="E215" s="311" t="s">
        <v>470</v>
      </c>
      <c r="F215" s="311">
        <v>13950000</v>
      </c>
      <c r="G215" s="311">
        <v>14213415.18</v>
      </c>
      <c r="H215" s="311">
        <v>1</v>
      </c>
    </row>
    <row r="216" spans="2:8" x14ac:dyDescent="0.35">
      <c r="B216" s="311">
        <v>116</v>
      </c>
      <c r="C216" s="311" t="s">
        <v>11</v>
      </c>
      <c r="D216" s="311" t="s">
        <v>81</v>
      </c>
      <c r="E216" s="311" t="s">
        <v>365</v>
      </c>
      <c r="F216" s="311">
        <v>9286000</v>
      </c>
      <c r="G216" s="311">
        <v>9466650.4199999999</v>
      </c>
      <c r="H216" s="311">
        <v>1</v>
      </c>
    </row>
    <row r="217" spans="2:8" x14ac:dyDescent="0.35">
      <c r="B217" s="311">
        <v>116</v>
      </c>
      <c r="C217" s="311" t="s">
        <v>13</v>
      </c>
      <c r="D217" s="311" t="s">
        <v>86</v>
      </c>
      <c r="E217" s="311" t="s">
        <v>280</v>
      </c>
      <c r="F217" s="311">
        <v>9300000</v>
      </c>
      <c r="G217" s="311">
        <v>9466650.4199999999</v>
      </c>
      <c r="H217" s="311">
        <v>4</v>
      </c>
    </row>
    <row r="218" spans="2:8" x14ac:dyDescent="0.35">
      <c r="B218" s="311">
        <v>116</v>
      </c>
      <c r="C218" s="311" t="s">
        <v>63</v>
      </c>
      <c r="D218" s="311" t="s">
        <v>275</v>
      </c>
      <c r="E218" s="311" t="s">
        <v>275</v>
      </c>
      <c r="F218" s="311">
        <v>7750000</v>
      </c>
      <c r="G218" s="311">
        <v>12622200.560000001</v>
      </c>
      <c r="H218" s="311">
        <v>3</v>
      </c>
    </row>
    <row r="219" spans="2:8" x14ac:dyDescent="0.35">
      <c r="B219" s="311">
        <v>116</v>
      </c>
      <c r="C219" s="311" t="s">
        <v>63</v>
      </c>
      <c r="D219" s="311" t="s">
        <v>305</v>
      </c>
      <c r="E219" s="311" t="s">
        <v>471</v>
      </c>
      <c r="F219" s="311">
        <v>4650000</v>
      </c>
      <c r="G219" s="311">
        <v>9466650.4199999999</v>
      </c>
      <c r="H219" s="311">
        <v>2</v>
      </c>
    </row>
    <row r="220" spans="2:8" x14ac:dyDescent="0.35">
      <c r="B220" s="311">
        <v>116</v>
      </c>
      <c r="C220" s="311" t="s">
        <v>63</v>
      </c>
      <c r="D220" s="311" t="s">
        <v>305</v>
      </c>
      <c r="E220" s="311" t="s">
        <v>311</v>
      </c>
      <c r="F220" s="311">
        <v>9300000</v>
      </c>
      <c r="G220" s="311">
        <v>9466650.4199999999</v>
      </c>
      <c r="H220" s="311">
        <v>1</v>
      </c>
    </row>
    <row r="221" spans="2:8" x14ac:dyDescent="0.35">
      <c r="B221" s="311">
        <v>116</v>
      </c>
      <c r="C221" s="311" t="s">
        <v>64</v>
      </c>
      <c r="D221" s="311" t="s">
        <v>64</v>
      </c>
      <c r="E221" s="311" t="s">
        <v>338</v>
      </c>
      <c r="F221" s="311">
        <v>9300000</v>
      </c>
      <c r="G221" s="311">
        <v>9466650.4199999999</v>
      </c>
      <c r="H221" s="311">
        <v>1</v>
      </c>
    </row>
    <row r="222" spans="2:8" x14ac:dyDescent="0.35">
      <c r="B222" s="311">
        <v>116</v>
      </c>
      <c r="C222" s="311" t="s">
        <v>64</v>
      </c>
      <c r="D222" s="311" t="s">
        <v>374</v>
      </c>
      <c r="E222" s="311" t="s">
        <v>465</v>
      </c>
      <c r="F222" s="311">
        <v>9300000</v>
      </c>
      <c r="G222" s="311">
        <v>9466650.4199999999</v>
      </c>
      <c r="H222" s="311">
        <v>1</v>
      </c>
    </row>
    <row r="223" spans="2:8" x14ac:dyDescent="0.35">
      <c r="B223" s="311">
        <v>116</v>
      </c>
      <c r="C223" s="311" t="s">
        <v>64</v>
      </c>
      <c r="D223" s="311" t="s">
        <v>62</v>
      </c>
      <c r="E223" s="311" t="s">
        <v>62</v>
      </c>
      <c r="F223" s="311">
        <v>9300000</v>
      </c>
      <c r="G223" s="311">
        <v>9466650.4199999999</v>
      </c>
      <c r="H223" s="311">
        <v>3</v>
      </c>
    </row>
    <row r="224" spans="2:8" x14ac:dyDescent="0.35">
      <c r="B224" s="311">
        <v>116</v>
      </c>
      <c r="C224" s="311" t="s">
        <v>64</v>
      </c>
      <c r="D224" s="311" t="s">
        <v>62</v>
      </c>
      <c r="E224" s="311" t="s">
        <v>353</v>
      </c>
      <c r="F224" s="311">
        <v>9300000</v>
      </c>
      <c r="G224" s="311">
        <v>9466650.4199999999</v>
      </c>
      <c r="H224" s="311">
        <v>4</v>
      </c>
    </row>
    <row r="225" spans="2:9" x14ac:dyDescent="0.35">
      <c r="B225" s="311">
        <v>116</v>
      </c>
      <c r="C225" s="311" t="s">
        <v>64</v>
      </c>
      <c r="D225" s="311" t="s">
        <v>62</v>
      </c>
      <c r="E225" s="311" t="s">
        <v>472</v>
      </c>
      <c r="F225" s="311">
        <v>9293000</v>
      </c>
      <c r="G225" s="311">
        <v>9466650.4199999999</v>
      </c>
      <c r="H225" s="311">
        <v>1</v>
      </c>
    </row>
    <row r="226" spans="2:9" x14ac:dyDescent="0.35">
      <c r="B226" s="311">
        <v>121</v>
      </c>
      <c r="C226" s="311" t="s">
        <v>11</v>
      </c>
      <c r="D226" s="311" t="s">
        <v>77</v>
      </c>
      <c r="E226" s="311" t="s">
        <v>78</v>
      </c>
      <c r="F226" s="311">
        <v>9254000</v>
      </c>
      <c r="G226" s="311">
        <v>10198071.09</v>
      </c>
      <c r="H226" s="311">
        <v>1</v>
      </c>
    </row>
    <row r="227" spans="2:9" x14ac:dyDescent="0.35">
      <c r="B227" s="311">
        <v>121</v>
      </c>
      <c r="C227" s="311" t="s">
        <v>11</v>
      </c>
      <c r="D227" s="311" t="s">
        <v>77</v>
      </c>
      <c r="E227" s="311" t="s">
        <v>82</v>
      </c>
      <c r="F227" s="311">
        <v>9280000</v>
      </c>
      <c r="G227" s="311">
        <v>9644931.5</v>
      </c>
      <c r="H227" s="311">
        <v>1</v>
      </c>
    </row>
    <row r="228" spans="2:9" x14ac:dyDescent="0.35">
      <c r="B228" s="311">
        <v>121</v>
      </c>
      <c r="C228" s="311" t="s">
        <v>11</v>
      </c>
      <c r="D228" s="311" t="s">
        <v>77</v>
      </c>
      <c r="E228" s="311" t="s">
        <v>456</v>
      </c>
      <c r="F228" s="311">
        <v>8917000</v>
      </c>
      <c r="G228" s="311">
        <v>9641778.8000000007</v>
      </c>
      <c r="H228" s="311">
        <v>1</v>
      </c>
    </row>
    <row r="229" spans="2:9" x14ac:dyDescent="0.35">
      <c r="B229" s="311">
        <v>121</v>
      </c>
      <c r="C229" s="311" t="s">
        <v>11</v>
      </c>
      <c r="D229" s="311" t="s">
        <v>71</v>
      </c>
      <c r="E229" s="311" t="s">
        <v>71</v>
      </c>
      <c r="F229" s="311">
        <v>9300000</v>
      </c>
      <c r="G229" s="311">
        <v>9645157.5</v>
      </c>
      <c r="H229" s="311">
        <v>1</v>
      </c>
    </row>
    <row r="230" spans="2:9" x14ac:dyDescent="0.35">
      <c r="B230" s="311">
        <v>121</v>
      </c>
      <c r="C230" s="311" t="s">
        <v>11</v>
      </c>
      <c r="D230" s="311" t="s">
        <v>81</v>
      </c>
      <c r="E230" s="311" t="s">
        <v>365</v>
      </c>
      <c r="F230" s="311">
        <v>9201000</v>
      </c>
      <c r="G230" s="311">
        <v>9643971</v>
      </c>
      <c r="H230" s="311">
        <v>1</v>
      </c>
    </row>
    <row r="231" spans="2:9" x14ac:dyDescent="0.35">
      <c r="B231" s="311">
        <v>121</v>
      </c>
      <c r="C231" s="311" t="s">
        <v>63</v>
      </c>
      <c r="D231" s="311" t="s">
        <v>419</v>
      </c>
      <c r="E231" s="311" t="s">
        <v>419</v>
      </c>
      <c r="F231" s="311">
        <v>9300000</v>
      </c>
      <c r="G231" s="311">
        <v>9645157.5</v>
      </c>
      <c r="H231" s="311">
        <v>1</v>
      </c>
    </row>
    <row r="232" spans="2:9" x14ac:dyDescent="0.35">
      <c r="B232" s="311">
        <v>121</v>
      </c>
      <c r="C232" s="311" t="s">
        <v>63</v>
      </c>
      <c r="D232" s="311" t="s">
        <v>412</v>
      </c>
      <c r="E232" s="311" t="s">
        <v>473</v>
      </c>
      <c r="F232" s="311">
        <v>13950000</v>
      </c>
      <c r="G232" s="311">
        <v>14422720</v>
      </c>
      <c r="H232" s="311">
        <v>1</v>
      </c>
    </row>
    <row r="233" spans="2:9" x14ac:dyDescent="0.35">
      <c r="B233" s="311">
        <v>121</v>
      </c>
      <c r="C233" s="311" t="s">
        <v>85</v>
      </c>
      <c r="D233" s="311" t="s">
        <v>87</v>
      </c>
      <c r="E233" s="311" t="s">
        <v>67</v>
      </c>
      <c r="F233" s="311">
        <v>4650000</v>
      </c>
      <c r="G233" s="311">
        <v>9452988</v>
      </c>
      <c r="H233" s="311">
        <v>2</v>
      </c>
    </row>
    <row r="234" spans="2:9" x14ac:dyDescent="0.35">
      <c r="B234" s="311">
        <v>4</v>
      </c>
      <c r="C234" s="311" t="s">
        <v>12</v>
      </c>
      <c r="D234" s="311" t="s">
        <v>72</v>
      </c>
      <c r="E234" s="311" t="s">
        <v>370</v>
      </c>
      <c r="F234" s="311">
        <v>17376792.140000001</v>
      </c>
      <c r="G234" s="311">
        <v>17479860.77</v>
      </c>
      <c r="I234" s="311">
        <v>2</v>
      </c>
    </row>
    <row r="235" spans="2:9" x14ac:dyDescent="0.35">
      <c r="B235" s="311">
        <v>4</v>
      </c>
      <c r="C235" s="311" t="s">
        <v>85</v>
      </c>
      <c r="D235" s="311" t="s">
        <v>274</v>
      </c>
      <c r="E235" s="311" t="s">
        <v>357</v>
      </c>
      <c r="F235" s="311">
        <v>13504080.949999999</v>
      </c>
      <c r="G235" s="311">
        <v>13641687.07</v>
      </c>
      <c r="I235" s="311">
        <v>1</v>
      </c>
    </row>
    <row r="236" spans="2:9" x14ac:dyDescent="0.35">
      <c r="B236" s="311">
        <v>22</v>
      </c>
      <c r="C236" s="311" t="s">
        <v>12</v>
      </c>
      <c r="D236" s="311" t="s">
        <v>72</v>
      </c>
      <c r="E236" s="311" t="s">
        <v>474</v>
      </c>
      <c r="F236" s="311">
        <v>20205406.898880001</v>
      </c>
      <c r="G236" s="311">
        <v>20205406.898880001</v>
      </c>
      <c r="I236" s="311">
        <v>125</v>
      </c>
    </row>
    <row r="237" spans="2:9" x14ac:dyDescent="0.35">
      <c r="B237" s="311">
        <v>22</v>
      </c>
      <c r="C237" s="311" t="s">
        <v>64</v>
      </c>
      <c r="D237" s="311" t="s">
        <v>64</v>
      </c>
      <c r="E237" s="311" t="s">
        <v>308</v>
      </c>
      <c r="F237" s="311">
        <v>20021008.260000002</v>
      </c>
      <c r="G237" s="311">
        <v>20021008.260000002</v>
      </c>
      <c r="I237" s="311">
        <v>1</v>
      </c>
    </row>
    <row r="238" spans="2:9" x14ac:dyDescent="0.35">
      <c r="B238" s="311">
        <v>22</v>
      </c>
      <c r="C238" s="311" t="s">
        <v>85</v>
      </c>
      <c r="D238" s="311" t="s">
        <v>85</v>
      </c>
      <c r="E238" s="311" t="s">
        <v>475</v>
      </c>
      <c r="F238" s="311">
        <v>20481360.460370399</v>
      </c>
      <c r="G238" s="311">
        <v>20481360.460370399</v>
      </c>
      <c r="I238" s="311">
        <v>27</v>
      </c>
    </row>
    <row r="239" spans="2:9" x14ac:dyDescent="0.35">
      <c r="B239" s="311">
        <v>22</v>
      </c>
      <c r="C239" s="311" t="s">
        <v>85</v>
      </c>
      <c r="D239" s="311" t="s">
        <v>274</v>
      </c>
      <c r="E239" s="311" t="s">
        <v>274</v>
      </c>
      <c r="F239" s="311">
        <v>20012808.309999999</v>
      </c>
      <c r="G239" s="311">
        <v>20012808.309999999</v>
      </c>
      <c r="I239" s="311">
        <v>1</v>
      </c>
    </row>
    <row r="240" spans="2:9" x14ac:dyDescent="0.35">
      <c r="B240" s="311">
        <v>28</v>
      </c>
      <c r="C240" s="311" t="s">
        <v>11</v>
      </c>
      <c r="D240" s="311" t="s">
        <v>415</v>
      </c>
      <c r="E240" s="311" t="s">
        <v>410</v>
      </c>
      <c r="F240" s="311">
        <v>22630313.629999999</v>
      </c>
      <c r="G240" s="311">
        <v>22630313.629999999</v>
      </c>
      <c r="I240" s="311">
        <v>1</v>
      </c>
    </row>
    <row r="241" spans="2:9" x14ac:dyDescent="0.35">
      <c r="B241" s="311">
        <v>28</v>
      </c>
      <c r="C241" s="311" t="s">
        <v>63</v>
      </c>
      <c r="D241" s="311" t="s">
        <v>332</v>
      </c>
      <c r="E241" s="311" t="s">
        <v>332</v>
      </c>
      <c r="F241" s="311">
        <v>21307679.25</v>
      </c>
      <c r="G241" s="311">
        <v>21307679.25</v>
      </c>
      <c r="I241" s="311">
        <v>1</v>
      </c>
    </row>
    <row r="242" spans="2:9" x14ac:dyDescent="0.35">
      <c r="B242" s="311">
        <v>28</v>
      </c>
      <c r="C242" s="311" t="s">
        <v>64</v>
      </c>
      <c r="D242" s="311" t="s">
        <v>64</v>
      </c>
      <c r="E242" s="311" t="s">
        <v>373</v>
      </c>
      <c r="F242" s="311">
        <v>21105277.789999999</v>
      </c>
      <c r="G242" s="311">
        <v>21105277.789999999</v>
      </c>
      <c r="I242" s="311">
        <v>1</v>
      </c>
    </row>
    <row r="243" spans="2:9" x14ac:dyDescent="0.35">
      <c r="B243" s="311">
        <v>28</v>
      </c>
      <c r="C243" s="311" t="s">
        <v>85</v>
      </c>
      <c r="D243" s="311" t="s">
        <v>87</v>
      </c>
      <c r="E243" s="311" t="s">
        <v>75</v>
      </c>
      <c r="F243" s="311">
        <v>22221284.23</v>
      </c>
      <c r="G243" s="311">
        <v>22284384.719999999</v>
      </c>
      <c r="I243" s="311">
        <v>1</v>
      </c>
    </row>
    <row r="244" spans="2:9" x14ac:dyDescent="0.35">
      <c r="B244" s="311">
        <v>32</v>
      </c>
      <c r="C244" s="311" t="s">
        <v>64</v>
      </c>
      <c r="D244" s="311" t="s">
        <v>374</v>
      </c>
      <c r="E244" s="311" t="s">
        <v>476</v>
      </c>
      <c r="F244" s="311">
        <v>18960661.8166667</v>
      </c>
      <c r="G244" s="311">
        <v>19013237.829999998</v>
      </c>
      <c r="I244" s="311">
        <v>3</v>
      </c>
    </row>
    <row r="245" spans="2:9" x14ac:dyDescent="0.35">
      <c r="B245" s="311">
        <v>93</v>
      </c>
      <c r="C245" s="311" t="s">
        <v>83</v>
      </c>
      <c r="D245" s="311" t="s">
        <v>89</v>
      </c>
      <c r="E245" s="311" t="s">
        <v>346</v>
      </c>
      <c r="F245" s="311">
        <v>18232010.329999998</v>
      </c>
      <c r="G245" s="311">
        <v>18314362.510000002</v>
      </c>
      <c r="I245" s="311">
        <v>1</v>
      </c>
    </row>
    <row r="246" spans="2:9" x14ac:dyDescent="0.35">
      <c r="B246" s="311">
        <v>93</v>
      </c>
      <c r="C246" s="311" t="s">
        <v>83</v>
      </c>
      <c r="D246" s="311" t="s">
        <v>89</v>
      </c>
      <c r="E246" s="311" t="s">
        <v>69</v>
      </c>
      <c r="F246" s="311">
        <v>20637820.440000001</v>
      </c>
      <c r="G246" s="311">
        <v>20637820.440000001</v>
      </c>
      <c r="I246" s="311">
        <v>1</v>
      </c>
    </row>
    <row r="247" spans="2:9" x14ac:dyDescent="0.35">
      <c r="B247" s="311">
        <v>93</v>
      </c>
      <c r="C247" s="311" t="s">
        <v>83</v>
      </c>
      <c r="D247" s="311" t="s">
        <v>89</v>
      </c>
      <c r="E247" s="311" t="s">
        <v>330</v>
      </c>
      <c r="F247" s="311">
        <v>16523754.710000001</v>
      </c>
      <c r="G247" s="311">
        <v>16583754.710000001</v>
      </c>
      <c r="I247" s="311">
        <v>1</v>
      </c>
    </row>
    <row r="248" spans="2:9" x14ac:dyDescent="0.35">
      <c r="B248" s="311">
        <v>93</v>
      </c>
      <c r="C248" s="311" t="s">
        <v>11</v>
      </c>
      <c r="D248" s="311" t="s">
        <v>379</v>
      </c>
      <c r="E248" s="311" t="s">
        <v>365</v>
      </c>
      <c r="F248" s="311">
        <v>20305568.149999999</v>
      </c>
      <c r="G248" s="311">
        <v>20553482.52</v>
      </c>
      <c r="I248" s="311">
        <v>1</v>
      </c>
    </row>
    <row r="249" spans="2:9" x14ac:dyDescent="0.35">
      <c r="B249" s="311">
        <v>93</v>
      </c>
      <c r="C249" s="311" t="s">
        <v>11</v>
      </c>
      <c r="D249" s="311" t="s">
        <v>77</v>
      </c>
      <c r="E249" s="311" t="s">
        <v>82</v>
      </c>
      <c r="F249" s="311">
        <v>22310550</v>
      </c>
      <c r="G249" s="311">
        <v>22390550</v>
      </c>
      <c r="I249" s="311">
        <v>1</v>
      </c>
    </row>
    <row r="250" spans="2:9" x14ac:dyDescent="0.35">
      <c r="B250" s="311">
        <v>93</v>
      </c>
      <c r="C250" s="311" t="s">
        <v>11</v>
      </c>
      <c r="D250" s="311" t="s">
        <v>77</v>
      </c>
      <c r="E250" s="311" t="s">
        <v>454</v>
      </c>
      <c r="F250" s="311">
        <v>17738950</v>
      </c>
      <c r="G250" s="311">
        <v>17838950</v>
      </c>
      <c r="I250" s="311">
        <v>1</v>
      </c>
    </row>
    <row r="251" spans="2:9" x14ac:dyDescent="0.35">
      <c r="B251" s="311">
        <v>93</v>
      </c>
      <c r="C251" s="311" t="s">
        <v>11</v>
      </c>
      <c r="D251" s="311" t="s">
        <v>71</v>
      </c>
      <c r="E251" s="311" t="s">
        <v>71</v>
      </c>
      <c r="F251" s="311">
        <v>17540750</v>
      </c>
      <c r="G251" s="311">
        <v>17640750</v>
      </c>
      <c r="I251" s="311">
        <v>1</v>
      </c>
    </row>
    <row r="252" spans="2:9" x14ac:dyDescent="0.35">
      <c r="B252" s="311">
        <v>93</v>
      </c>
      <c r="C252" s="311" t="s">
        <v>11</v>
      </c>
      <c r="D252" s="311" t="s">
        <v>71</v>
      </c>
      <c r="E252" s="311" t="s">
        <v>306</v>
      </c>
      <c r="F252" s="311">
        <v>18380750.710000001</v>
      </c>
      <c r="G252" s="311">
        <v>18380750.710000001</v>
      </c>
      <c r="I252" s="311">
        <v>1</v>
      </c>
    </row>
    <row r="253" spans="2:9" x14ac:dyDescent="0.35">
      <c r="B253" s="311">
        <v>93</v>
      </c>
      <c r="C253" s="311" t="s">
        <v>11</v>
      </c>
      <c r="D253" s="311" t="s">
        <v>81</v>
      </c>
      <c r="E253" s="311" t="s">
        <v>365</v>
      </c>
      <c r="F253" s="311">
        <v>18664009.32</v>
      </c>
      <c r="G253" s="311">
        <v>18715358.734999999</v>
      </c>
      <c r="I253" s="311">
        <v>2</v>
      </c>
    </row>
    <row r="254" spans="2:9" x14ac:dyDescent="0.35">
      <c r="B254" s="311">
        <v>93</v>
      </c>
      <c r="C254" s="311" t="s">
        <v>63</v>
      </c>
      <c r="D254" s="311" t="s">
        <v>275</v>
      </c>
      <c r="E254" s="311" t="s">
        <v>275</v>
      </c>
      <c r="F254" s="311">
        <v>26619514.059999999</v>
      </c>
      <c r="G254" s="311">
        <v>26680014.059999999</v>
      </c>
      <c r="I254" s="311">
        <v>1</v>
      </c>
    </row>
    <row r="255" spans="2:9" x14ac:dyDescent="0.35">
      <c r="B255" s="311">
        <v>93</v>
      </c>
      <c r="C255" s="311" t="s">
        <v>63</v>
      </c>
      <c r="D255" s="311" t="s">
        <v>414</v>
      </c>
      <c r="E255" s="311" t="s">
        <v>414</v>
      </c>
      <c r="F255" s="311">
        <v>20391958.949999999</v>
      </c>
      <c r="G255" s="311">
        <v>20391958.949999999</v>
      </c>
      <c r="I255" s="311">
        <v>1</v>
      </c>
    </row>
    <row r="256" spans="2:9" x14ac:dyDescent="0.35">
      <c r="B256" s="311">
        <v>93</v>
      </c>
      <c r="C256" s="311" t="s">
        <v>63</v>
      </c>
      <c r="D256" s="311" t="s">
        <v>371</v>
      </c>
      <c r="E256" s="311" t="s">
        <v>477</v>
      </c>
      <c r="F256" s="311">
        <v>14323240</v>
      </c>
      <c r="G256" s="311">
        <v>14483200</v>
      </c>
      <c r="I256" s="311">
        <v>1</v>
      </c>
    </row>
    <row r="257" spans="2:9" x14ac:dyDescent="0.35">
      <c r="B257" s="311">
        <v>93</v>
      </c>
      <c r="C257" s="311" t="s">
        <v>63</v>
      </c>
      <c r="D257" s="311" t="s">
        <v>332</v>
      </c>
      <c r="E257" s="311" t="s">
        <v>333</v>
      </c>
      <c r="F257" s="311">
        <v>17109475.32</v>
      </c>
      <c r="G257" s="311">
        <v>17109475.32</v>
      </c>
      <c r="I257" s="311">
        <v>1</v>
      </c>
    </row>
    <row r="258" spans="2:9" x14ac:dyDescent="0.35">
      <c r="B258" s="311">
        <v>93</v>
      </c>
      <c r="C258" s="311" t="s">
        <v>64</v>
      </c>
      <c r="D258" s="311" t="s">
        <v>62</v>
      </c>
      <c r="E258" s="311" t="s">
        <v>352</v>
      </c>
      <c r="F258" s="311">
        <v>13880583.710000001</v>
      </c>
      <c r="G258" s="311">
        <v>13880583.710000001</v>
      </c>
      <c r="I258" s="311">
        <v>1</v>
      </c>
    </row>
    <row r="259" spans="2:9" x14ac:dyDescent="0.35">
      <c r="B259" s="311">
        <v>93</v>
      </c>
      <c r="C259" s="311" t="s">
        <v>64</v>
      </c>
      <c r="D259" s="311" t="s">
        <v>336</v>
      </c>
      <c r="E259" s="311" t="s">
        <v>337</v>
      </c>
      <c r="F259" s="311">
        <v>27630914.670000002</v>
      </c>
      <c r="G259" s="311">
        <v>27742697.414999999</v>
      </c>
      <c r="I259" s="311">
        <v>2</v>
      </c>
    </row>
    <row r="260" spans="2:9" x14ac:dyDescent="0.35">
      <c r="B260" s="311">
        <v>93</v>
      </c>
      <c r="C260" s="311" t="s">
        <v>64</v>
      </c>
      <c r="D260" s="311" t="s">
        <v>336</v>
      </c>
      <c r="E260" s="311" t="s">
        <v>284</v>
      </c>
      <c r="F260" s="311">
        <v>26948786.734999999</v>
      </c>
      <c r="G260" s="311">
        <v>27175409.625</v>
      </c>
      <c r="I260" s="311">
        <v>2</v>
      </c>
    </row>
    <row r="261" spans="2:9" x14ac:dyDescent="0.35">
      <c r="B261" s="311">
        <v>93</v>
      </c>
      <c r="C261" s="311" t="s">
        <v>64</v>
      </c>
      <c r="D261" s="311" t="s">
        <v>79</v>
      </c>
      <c r="E261" s="311" t="s">
        <v>285</v>
      </c>
      <c r="F261" s="311">
        <v>19656501.48</v>
      </c>
      <c r="G261" s="311">
        <v>19756501.48</v>
      </c>
      <c r="I261" s="311">
        <v>1</v>
      </c>
    </row>
    <row r="262" spans="2:9" x14ac:dyDescent="0.35">
      <c r="B262" s="311">
        <v>93</v>
      </c>
      <c r="C262" s="311" t="s">
        <v>64</v>
      </c>
      <c r="D262" s="311" t="s">
        <v>335</v>
      </c>
      <c r="E262" s="311" t="s">
        <v>478</v>
      </c>
      <c r="F262" s="311">
        <v>17256667.100000001</v>
      </c>
      <c r="G262" s="311">
        <v>17491047.41</v>
      </c>
      <c r="I262" s="311">
        <v>1</v>
      </c>
    </row>
    <row r="263" spans="2:9" x14ac:dyDescent="0.35">
      <c r="B263" s="311">
        <v>93</v>
      </c>
      <c r="C263" s="311" t="s">
        <v>64</v>
      </c>
      <c r="D263" s="311" t="s">
        <v>356</v>
      </c>
      <c r="E263" s="311" t="s">
        <v>356</v>
      </c>
      <c r="F263" s="311">
        <v>18439274.739999998</v>
      </c>
      <c r="G263" s="311">
        <v>18439274.739999998</v>
      </c>
      <c r="I263" s="311">
        <v>1</v>
      </c>
    </row>
    <row r="264" spans="2:9" x14ac:dyDescent="0.35">
      <c r="B264" s="311">
        <v>93</v>
      </c>
      <c r="C264" s="311" t="s">
        <v>85</v>
      </c>
      <c r="D264" s="311" t="s">
        <v>87</v>
      </c>
      <c r="E264" s="311" t="s">
        <v>91</v>
      </c>
      <c r="F264" s="311">
        <v>22907874.43</v>
      </c>
      <c r="G264" s="311">
        <v>22907874.43</v>
      </c>
      <c r="I264" s="311">
        <v>1</v>
      </c>
    </row>
    <row r="265" spans="2:9" x14ac:dyDescent="0.35">
      <c r="B265" s="311">
        <v>93</v>
      </c>
      <c r="C265" s="311" t="s">
        <v>85</v>
      </c>
      <c r="D265" s="311" t="s">
        <v>87</v>
      </c>
      <c r="E265" s="311" t="s">
        <v>281</v>
      </c>
      <c r="F265" s="311">
        <v>19930097.850000001</v>
      </c>
      <c r="G265" s="311">
        <v>19930097.850000001</v>
      </c>
      <c r="I265" s="311">
        <v>1</v>
      </c>
    </row>
    <row r="266" spans="2:9" x14ac:dyDescent="0.35">
      <c r="B266" s="311">
        <v>93</v>
      </c>
      <c r="C266" s="311" t="s">
        <v>85</v>
      </c>
      <c r="D266" s="311" t="s">
        <v>87</v>
      </c>
      <c r="E266" s="311" t="s">
        <v>66</v>
      </c>
      <c r="F266" s="311">
        <v>18365158.260000002</v>
      </c>
      <c r="G266" s="311">
        <v>18463804.210000001</v>
      </c>
      <c r="I266" s="311">
        <v>2</v>
      </c>
    </row>
    <row r="267" spans="2:9" x14ac:dyDescent="0.35">
      <c r="B267" s="311">
        <v>93</v>
      </c>
      <c r="C267" s="311" t="s">
        <v>85</v>
      </c>
      <c r="D267" s="311" t="s">
        <v>87</v>
      </c>
      <c r="E267" s="311" t="s">
        <v>75</v>
      </c>
      <c r="F267" s="311">
        <v>23391795.850000001</v>
      </c>
      <c r="G267" s="311">
        <v>23391795.850000001</v>
      </c>
      <c r="I267" s="311">
        <v>1</v>
      </c>
    </row>
    <row r="268" spans="2:9" x14ac:dyDescent="0.35">
      <c r="B268" s="311">
        <v>93</v>
      </c>
      <c r="C268" s="311" t="s">
        <v>85</v>
      </c>
      <c r="D268" s="311" t="s">
        <v>87</v>
      </c>
      <c r="E268" s="311" t="s">
        <v>67</v>
      </c>
      <c r="F268" s="311">
        <v>20868617.52</v>
      </c>
      <c r="G268" s="311">
        <v>20868617.52</v>
      </c>
      <c r="I268" s="311">
        <v>1</v>
      </c>
    </row>
    <row r="269" spans="2:9" x14ac:dyDescent="0.35">
      <c r="B269" s="311">
        <v>93</v>
      </c>
      <c r="C269" s="311" t="s">
        <v>85</v>
      </c>
      <c r="D269" s="311" t="s">
        <v>87</v>
      </c>
      <c r="E269" s="311" t="s">
        <v>282</v>
      </c>
      <c r="F269" s="311">
        <v>21223126.559999999</v>
      </c>
      <c r="G269" s="311">
        <v>21459922.370000001</v>
      </c>
      <c r="I269" s="311">
        <v>1</v>
      </c>
    </row>
    <row r="270" spans="2:9" x14ac:dyDescent="0.35">
      <c r="B270" s="311">
        <v>93</v>
      </c>
      <c r="C270" s="311" t="s">
        <v>85</v>
      </c>
      <c r="D270" s="311" t="s">
        <v>274</v>
      </c>
      <c r="E270" s="311" t="s">
        <v>307</v>
      </c>
      <c r="F270" s="311">
        <v>20574005.460000001</v>
      </c>
      <c r="G270" s="311">
        <v>20574005.460000001</v>
      </c>
      <c r="I270" s="311">
        <v>1</v>
      </c>
    </row>
    <row r="271" spans="2:9" x14ac:dyDescent="0.35">
      <c r="B271" s="311">
        <v>93</v>
      </c>
      <c r="C271" s="311" t="s">
        <v>85</v>
      </c>
      <c r="D271" s="311" t="s">
        <v>274</v>
      </c>
      <c r="E271" s="311" t="s">
        <v>357</v>
      </c>
      <c r="F271" s="311">
        <v>19436652.305</v>
      </c>
      <c r="G271" s="311">
        <v>19618092.614999998</v>
      </c>
      <c r="I271" s="311">
        <v>2</v>
      </c>
    </row>
    <row r="272" spans="2:9" x14ac:dyDescent="0.35">
      <c r="B272" s="311">
        <v>93</v>
      </c>
      <c r="C272" s="311" t="s">
        <v>85</v>
      </c>
      <c r="D272" s="311" t="s">
        <v>88</v>
      </c>
      <c r="E272" s="311" t="s">
        <v>88</v>
      </c>
      <c r="F272" s="311">
        <v>19869209</v>
      </c>
      <c r="G272" s="311">
        <v>19869209</v>
      </c>
      <c r="I272" s="311">
        <v>1</v>
      </c>
    </row>
    <row r="273" spans="2:9" x14ac:dyDescent="0.35">
      <c r="B273" s="311">
        <v>93</v>
      </c>
      <c r="C273" s="311" t="s">
        <v>85</v>
      </c>
      <c r="D273" s="311" t="s">
        <v>88</v>
      </c>
      <c r="E273" s="311" t="s">
        <v>358</v>
      </c>
      <c r="F273" s="311">
        <v>16252944.366666701</v>
      </c>
      <c r="G273" s="311">
        <v>16363422.3166667</v>
      </c>
      <c r="I273" s="311">
        <v>3</v>
      </c>
    </row>
    <row r="274" spans="2:9" x14ac:dyDescent="0.35">
      <c r="B274" s="311">
        <v>93</v>
      </c>
      <c r="C274" s="311" t="s">
        <v>85</v>
      </c>
      <c r="D274" s="311" t="s">
        <v>88</v>
      </c>
      <c r="E274" s="311" t="s">
        <v>288</v>
      </c>
      <c r="F274" s="311">
        <v>19871427.199999999</v>
      </c>
      <c r="G274" s="311">
        <v>19933808</v>
      </c>
      <c r="I274" s="311">
        <v>1</v>
      </c>
    </row>
    <row r="275" spans="2:9" x14ac:dyDescent="0.35">
      <c r="B275" s="311">
        <v>101</v>
      </c>
      <c r="C275" s="311" t="s">
        <v>13</v>
      </c>
      <c r="D275" s="311" t="s">
        <v>86</v>
      </c>
      <c r="E275" s="311" t="s">
        <v>280</v>
      </c>
      <c r="F275" s="311">
        <v>19234012.809999999</v>
      </c>
      <c r="G275" s="311">
        <v>19234012.809999999</v>
      </c>
      <c r="I275" s="311">
        <v>1</v>
      </c>
    </row>
    <row r="276" spans="2:9" x14ac:dyDescent="0.35">
      <c r="B276" s="311">
        <v>117</v>
      </c>
      <c r="C276" s="311" t="s">
        <v>11</v>
      </c>
      <c r="D276" s="311" t="s">
        <v>77</v>
      </c>
      <c r="E276" s="311" t="s">
        <v>456</v>
      </c>
      <c r="F276" s="311">
        <v>19717310.210000001</v>
      </c>
      <c r="G276" s="311">
        <v>19789871.73</v>
      </c>
      <c r="I276" s="311">
        <v>1</v>
      </c>
    </row>
    <row r="277" spans="2:9" x14ac:dyDescent="0.35">
      <c r="B277" s="311">
        <v>117</v>
      </c>
      <c r="C277" s="311" t="s">
        <v>11</v>
      </c>
      <c r="D277" s="311" t="s">
        <v>310</v>
      </c>
      <c r="E277" s="311" t="s">
        <v>295</v>
      </c>
      <c r="F277" s="311">
        <v>23961036.539999999</v>
      </c>
      <c r="G277" s="311">
        <v>23961036.539999999</v>
      </c>
      <c r="I277" s="311">
        <v>1</v>
      </c>
    </row>
    <row r="278" spans="2:9" x14ac:dyDescent="0.35">
      <c r="B278" s="311">
        <v>117</v>
      </c>
      <c r="C278" s="311" t="s">
        <v>63</v>
      </c>
      <c r="D278" s="311" t="s">
        <v>73</v>
      </c>
      <c r="E278" s="311" t="s">
        <v>363</v>
      </c>
      <c r="F278" s="311">
        <v>16825129.030000001</v>
      </c>
      <c r="G278" s="311">
        <v>16825129.030000001</v>
      </c>
      <c r="I278" s="311">
        <v>1</v>
      </c>
    </row>
    <row r="279" spans="2:9" x14ac:dyDescent="0.35">
      <c r="B279" s="311">
        <v>117</v>
      </c>
      <c r="C279" s="311" t="s">
        <v>64</v>
      </c>
      <c r="D279" s="311" t="s">
        <v>64</v>
      </c>
      <c r="E279" s="311" t="s">
        <v>351</v>
      </c>
      <c r="F279" s="311">
        <v>14103052.470000001</v>
      </c>
      <c r="G279" s="311">
        <v>14256104.939999999</v>
      </c>
      <c r="I279" s="311">
        <v>1</v>
      </c>
    </row>
    <row r="280" spans="2:9" x14ac:dyDescent="0.35">
      <c r="B280" s="311">
        <v>117</v>
      </c>
      <c r="C280" s="311" t="s">
        <v>64</v>
      </c>
      <c r="D280" s="311" t="s">
        <v>374</v>
      </c>
      <c r="E280" s="311" t="s">
        <v>476</v>
      </c>
      <c r="F280" s="311">
        <v>12940770.51</v>
      </c>
      <c r="G280" s="311">
        <v>13035386.439999999</v>
      </c>
      <c r="I280" s="311">
        <v>1</v>
      </c>
    </row>
    <row r="281" spans="2:9" x14ac:dyDescent="0.35">
      <c r="B281" s="311">
        <v>4</v>
      </c>
      <c r="C281" s="311" t="s">
        <v>64</v>
      </c>
      <c r="D281" s="311" t="s">
        <v>62</v>
      </c>
      <c r="E281" s="311" t="s">
        <v>62</v>
      </c>
      <c r="F281" s="311">
        <v>18866091.25</v>
      </c>
      <c r="G281" s="311">
        <v>18866091.25</v>
      </c>
      <c r="I281" s="311">
        <v>1</v>
      </c>
    </row>
    <row r="282" spans="2:9" x14ac:dyDescent="0.35">
      <c r="B282" s="311">
        <v>4</v>
      </c>
      <c r="C282" s="311" t="s">
        <v>64</v>
      </c>
      <c r="D282" s="311" t="s">
        <v>79</v>
      </c>
      <c r="E282" s="311" t="s">
        <v>285</v>
      </c>
      <c r="F282" s="311">
        <v>16830142.789999999</v>
      </c>
      <c r="G282" s="311">
        <v>16830142.789999999</v>
      </c>
      <c r="I282" s="311">
        <v>1</v>
      </c>
    </row>
    <row r="283" spans="2:9" x14ac:dyDescent="0.35">
      <c r="B283" s="311">
        <v>4</v>
      </c>
      <c r="C283" s="311" t="s">
        <v>85</v>
      </c>
      <c r="D283" s="311" t="s">
        <v>85</v>
      </c>
      <c r="E283" s="311" t="s">
        <v>475</v>
      </c>
      <c r="F283" s="311">
        <v>14447537.92</v>
      </c>
      <c r="G283" s="311">
        <v>14447537.92</v>
      </c>
      <c r="I283" s="311">
        <v>1</v>
      </c>
    </row>
    <row r="284" spans="2:9" x14ac:dyDescent="0.35">
      <c r="B284" s="311">
        <v>4</v>
      </c>
      <c r="C284" s="311" t="s">
        <v>85</v>
      </c>
      <c r="D284" s="311" t="s">
        <v>393</v>
      </c>
      <c r="E284" s="311" t="s">
        <v>393</v>
      </c>
      <c r="F284" s="311">
        <v>18830006.789999999</v>
      </c>
      <c r="G284" s="311">
        <v>18830006.789999999</v>
      </c>
      <c r="I284" s="311">
        <v>1</v>
      </c>
    </row>
    <row r="285" spans="2:9" x14ac:dyDescent="0.35">
      <c r="B285" s="311">
        <v>14</v>
      </c>
      <c r="C285" s="311" t="s">
        <v>83</v>
      </c>
      <c r="D285" s="311" t="s">
        <v>83</v>
      </c>
      <c r="E285" s="311" t="s">
        <v>444</v>
      </c>
      <c r="F285" s="311">
        <v>19258986.609999999</v>
      </c>
      <c r="G285" s="311">
        <v>19517973.219999999</v>
      </c>
      <c r="I285" s="311">
        <v>1</v>
      </c>
    </row>
    <row r="286" spans="2:9" x14ac:dyDescent="0.35">
      <c r="B286" s="311">
        <v>14</v>
      </c>
      <c r="C286" s="311" t="s">
        <v>13</v>
      </c>
      <c r="D286" s="311" t="s">
        <v>86</v>
      </c>
      <c r="E286" s="311" t="s">
        <v>331</v>
      </c>
      <c r="F286" s="311">
        <v>15410626.560000001</v>
      </c>
      <c r="G286" s="311">
        <v>15410626.560000001</v>
      </c>
      <c r="I286" s="311">
        <v>1</v>
      </c>
    </row>
    <row r="287" spans="2:9" x14ac:dyDescent="0.35">
      <c r="B287" s="311">
        <v>14</v>
      </c>
      <c r="C287" s="311" t="s">
        <v>85</v>
      </c>
      <c r="D287" s="311" t="s">
        <v>87</v>
      </c>
      <c r="E287" s="311" t="s">
        <v>67</v>
      </c>
      <c r="F287" s="311">
        <v>19434804.969999999</v>
      </c>
      <c r="G287" s="311">
        <v>19434804.969999999</v>
      </c>
      <c r="I287" s="311">
        <v>1</v>
      </c>
    </row>
    <row r="288" spans="2:9" x14ac:dyDescent="0.35">
      <c r="B288" s="311">
        <v>27</v>
      </c>
      <c r="C288" s="311" t="s">
        <v>63</v>
      </c>
      <c r="D288" s="311" t="s">
        <v>350</v>
      </c>
      <c r="E288" s="311" t="s">
        <v>350</v>
      </c>
      <c r="F288" s="311">
        <v>19689443.120000001</v>
      </c>
      <c r="G288" s="311">
        <v>19689443.120000001</v>
      </c>
      <c r="I288" s="311">
        <v>1</v>
      </c>
    </row>
    <row r="289" spans="2:9" x14ac:dyDescent="0.35">
      <c r="B289" s="311">
        <v>27</v>
      </c>
      <c r="C289" s="311" t="s">
        <v>64</v>
      </c>
      <c r="D289" s="311" t="s">
        <v>74</v>
      </c>
      <c r="E289" s="311" t="s">
        <v>431</v>
      </c>
      <c r="F289" s="311">
        <v>17534866</v>
      </c>
      <c r="G289" s="311">
        <v>17534866</v>
      </c>
      <c r="I289" s="311">
        <v>1</v>
      </c>
    </row>
    <row r="290" spans="2:9" x14ac:dyDescent="0.35">
      <c r="B290" s="311">
        <v>28</v>
      </c>
      <c r="C290" s="311" t="s">
        <v>11</v>
      </c>
      <c r="D290" s="311" t="s">
        <v>415</v>
      </c>
      <c r="E290" s="311" t="s">
        <v>410</v>
      </c>
      <c r="F290" s="311">
        <v>21932059.510000002</v>
      </c>
      <c r="G290" s="311">
        <v>21932059.510000002</v>
      </c>
      <c r="I290" s="311">
        <v>1</v>
      </c>
    </row>
    <row r="291" spans="2:9" x14ac:dyDescent="0.35">
      <c r="B291" s="311">
        <v>28</v>
      </c>
      <c r="C291" s="311" t="s">
        <v>11</v>
      </c>
      <c r="D291" s="311" t="s">
        <v>77</v>
      </c>
      <c r="E291" s="311" t="s">
        <v>78</v>
      </c>
      <c r="F291" s="311">
        <v>24303760.960000001</v>
      </c>
      <c r="G291" s="311">
        <v>24364178.84</v>
      </c>
      <c r="I291" s="311">
        <v>1</v>
      </c>
    </row>
    <row r="292" spans="2:9" x14ac:dyDescent="0.35">
      <c r="B292" s="311">
        <v>28</v>
      </c>
      <c r="C292" s="311" t="s">
        <v>11</v>
      </c>
      <c r="D292" s="311" t="s">
        <v>77</v>
      </c>
      <c r="E292" s="311" t="s">
        <v>454</v>
      </c>
      <c r="F292" s="311">
        <v>20254075.25</v>
      </c>
      <c r="G292" s="311">
        <v>20254075.25</v>
      </c>
      <c r="I292" s="311">
        <v>1</v>
      </c>
    </row>
    <row r="293" spans="2:9" x14ac:dyDescent="0.35">
      <c r="B293" s="311">
        <v>28</v>
      </c>
      <c r="C293" s="311" t="s">
        <v>11</v>
      </c>
      <c r="D293" s="311" t="s">
        <v>77</v>
      </c>
      <c r="E293" s="311" t="s">
        <v>349</v>
      </c>
      <c r="F293" s="311">
        <v>18761773</v>
      </c>
      <c r="G293" s="311">
        <v>18761773</v>
      </c>
      <c r="I293" s="311">
        <v>1</v>
      </c>
    </row>
    <row r="294" spans="2:9" x14ac:dyDescent="0.35">
      <c r="B294" s="311">
        <v>28</v>
      </c>
      <c r="C294" s="311" t="s">
        <v>11</v>
      </c>
      <c r="D294" s="311" t="s">
        <v>71</v>
      </c>
      <c r="E294" s="311" t="s">
        <v>71</v>
      </c>
      <c r="F294" s="311">
        <v>14287763.720000001</v>
      </c>
      <c r="G294" s="311">
        <v>14432519.6</v>
      </c>
      <c r="I294" s="311">
        <v>1</v>
      </c>
    </row>
    <row r="295" spans="2:9" x14ac:dyDescent="0.35">
      <c r="B295" s="311">
        <v>28</v>
      </c>
      <c r="C295" s="311" t="s">
        <v>11</v>
      </c>
      <c r="D295" s="311" t="s">
        <v>81</v>
      </c>
      <c r="E295" s="311" t="s">
        <v>365</v>
      </c>
      <c r="F295" s="311">
        <v>23344405.43</v>
      </c>
      <c r="G295" s="311">
        <v>23344405.43</v>
      </c>
      <c r="I295" s="311">
        <v>1</v>
      </c>
    </row>
    <row r="296" spans="2:9" x14ac:dyDescent="0.35">
      <c r="B296" s="311">
        <v>28</v>
      </c>
      <c r="C296" s="311" t="s">
        <v>63</v>
      </c>
      <c r="D296" s="311" t="s">
        <v>332</v>
      </c>
      <c r="E296" s="311" t="s">
        <v>332</v>
      </c>
      <c r="F296" s="311">
        <v>15708704.810000001</v>
      </c>
      <c r="G296" s="311">
        <v>15708704.810000001</v>
      </c>
      <c r="I296" s="311">
        <v>1</v>
      </c>
    </row>
    <row r="297" spans="2:9" x14ac:dyDescent="0.35">
      <c r="B297" s="311">
        <v>28</v>
      </c>
      <c r="C297" s="311" t="s">
        <v>63</v>
      </c>
      <c r="D297" s="311" t="s">
        <v>332</v>
      </c>
      <c r="E297" s="311" t="s">
        <v>333</v>
      </c>
      <c r="F297" s="311">
        <v>19991833.82</v>
      </c>
      <c r="G297" s="311">
        <v>19991833.82</v>
      </c>
      <c r="I297" s="311">
        <v>1</v>
      </c>
    </row>
    <row r="298" spans="2:9" x14ac:dyDescent="0.35">
      <c r="B298" s="311">
        <v>28</v>
      </c>
      <c r="C298" s="311" t="s">
        <v>64</v>
      </c>
      <c r="D298" s="311" t="s">
        <v>64</v>
      </c>
      <c r="E298" s="311" t="s">
        <v>308</v>
      </c>
      <c r="F298" s="311">
        <v>17234229.25</v>
      </c>
      <c r="G298" s="311">
        <v>17234229.25</v>
      </c>
      <c r="I298" s="311">
        <v>1</v>
      </c>
    </row>
    <row r="299" spans="2:9" x14ac:dyDescent="0.35">
      <c r="B299" s="311">
        <v>28</v>
      </c>
      <c r="C299" s="311" t="s">
        <v>85</v>
      </c>
      <c r="D299" s="311" t="s">
        <v>87</v>
      </c>
      <c r="E299" s="311" t="s">
        <v>75</v>
      </c>
      <c r="F299" s="311">
        <v>19787268.66</v>
      </c>
      <c r="G299" s="311">
        <v>19787268.66</v>
      </c>
      <c r="I299" s="311">
        <v>2</v>
      </c>
    </row>
    <row r="300" spans="2:9" x14ac:dyDescent="0.35">
      <c r="B300" s="311">
        <v>28</v>
      </c>
      <c r="C300" s="311" t="s">
        <v>85</v>
      </c>
      <c r="D300" s="311" t="s">
        <v>88</v>
      </c>
      <c r="E300" s="311" t="s">
        <v>288</v>
      </c>
      <c r="F300" s="311">
        <v>21180148.68</v>
      </c>
      <c r="G300" s="311">
        <v>21180148.68</v>
      </c>
      <c r="I300" s="311">
        <v>1</v>
      </c>
    </row>
    <row r="301" spans="2:9" x14ac:dyDescent="0.35">
      <c r="B301" s="311">
        <v>32</v>
      </c>
      <c r="C301" s="311" t="s">
        <v>12</v>
      </c>
      <c r="D301" s="311" t="s">
        <v>72</v>
      </c>
      <c r="E301" s="311" t="s">
        <v>72</v>
      </c>
      <c r="F301" s="311">
        <v>20815934.859999999</v>
      </c>
      <c r="G301" s="311">
        <v>20815934.859999999</v>
      </c>
      <c r="I301" s="311">
        <v>1</v>
      </c>
    </row>
    <row r="302" spans="2:9" x14ac:dyDescent="0.35">
      <c r="B302" s="311">
        <v>32</v>
      </c>
      <c r="C302" s="311" t="s">
        <v>12</v>
      </c>
      <c r="D302" s="311" t="s">
        <v>72</v>
      </c>
      <c r="E302" s="311" t="s">
        <v>474</v>
      </c>
      <c r="F302" s="311">
        <v>20012178.329615399</v>
      </c>
      <c r="G302" s="311">
        <v>20012178.329615399</v>
      </c>
      <c r="I302" s="311">
        <v>78</v>
      </c>
    </row>
    <row r="303" spans="2:9" x14ac:dyDescent="0.35">
      <c r="B303" s="311">
        <v>32</v>
      </c>
      <c r="C303" s="311" t="s">
        <v>63</v>
      </c>
      <c r="D303" s="311" t="s">
        <v>412</v>
      </c>
      <c r="E303" s="311" t="s">
        <v>473</v>
      </c>
      <c r="F303" s="311">
        <v>29370053.59</v>
      </c>
      <c r="G303" s="311">
        <v>29411390.77</v>
      </c>
      <c r="I303" s="311">
        <v>1</v>
      </c>
    </row>
    <row r="304" spans="2:9" x14ac:dyDescent="0.35">
      <c r="B304" s="311">
        <v>32</v>
      </c>
      <c r="C304" s="311" t="s">
        <v>63</v>
      </c>
      <c r="D304" s="311" t="s">
        <v>305</v>
      </c>
      <c r="E304" s="311" t="s">
        <v>479</v>
      </c>
      <c r="F304" s="311">
        <v>16013321.199999999</v>
      </c>
      <c r="G304" s="311">
        <v>16013321.199999999</v>
      </c>
      <c r="I304" s="311">
        <v>1</v>
      </c>
    </row>
    <row r="305" spans="2:9" x14ac:dyDescent="0.35">
      <c r="B305" s="311">
        <v>32</v>
      </c>
      <c r="C305" s="311" t="s">
        <v>85</v>
      </c>
      <c r="D305" s="311" t="s">
        <v>85</v>
      </c>
      <c r="E305" s="311" t="s">
        <v>475</v>
      </c>
      <c r="F305" s="311">
        <v>20072651.091249999</v>
      </c>
      <c r="G305" s="311">
        <v>20072651.091249999</v>
      </c>
      <c r="I305" s="311">
        <v>8</v>
      </c>
    </row>
    <row r="306" spans="2:9" x14ac:dyDescent="0.35">
      <c r="B306" s="311">
        <v>32</v>
      </c>
      <c r="C306" s="311" t="s">
        <v>85</v>
      </c>
      <c r="D306" s="311" t="s">
        <v>85</v>
      </c>
      <c r="E306" s="311" t="s">
        <v>480</v>
      </c>
      <c r="F306" s="311">
        <v>19687056.010000002</v>
      </c>
      <c r="G306" s="311">
        <v>19687056.010000002</v>
      </c>
      <c r="I306" s="311">
        <v>1</v>
      </c>
    </row>
    <row r="307" spans="2:9" x14ac:dyDescent="0.35">
      <c r="B307" s="311">
        <v>87</v>
      </c>
      <c r="C307" s="311" t="s">
        <v>11</v>
      </c>
      <c r="D307" s="311" t="s">
        <v>77</v>
      </c>
      <c r="E307" s="311" t="s">
        <v>455</v>
      </c>
      <c r="F307" s="311">
        <v>21530748.640000001</v>
      </c>
      <c r="G307" s="311">
        <v>21530748.640000001</v>
      </c>
      <c r="I307" s="311">
        <v>1</v>
      </c>
    </row>
    <row r="308" spans="2:9" x14ac:dyDescent="0.35">
      <c r="B308" s="311">
        <v>87</v>
      </c>
      <c r="C308" s="311" t="s">
        <v>11</v>
      </c>
      <c r="D308" s="311" t="s">
        <v>81</v>
      </c>
      <c r="E308" s="311" t="s">
        <v>365</v>
      </c>
      <c r="F308" s="311">
        <v>28063665.620000001</v>
      </c>
      <c r="G308" s="311">
        <v>28097816.309999999</v>
      </c>
      <c r="I308" s="311">
        <v>1</v>
      </c>
    </row>
    <row r="309" spans="2:9" x14ac:dyDescent="0.35">
      <c r="B309" s="311">
        <v>87</v>
      </c>
      <c r="C309" s="311" t="s">
        <v>12</v>
      </c>
      <c r="D309" s="311" t="s">
        <v>72</v>
      </c>
      <c r="E309" s="311" t="s">
        <v>370</v>
      </c>
      <c r="F309" s="311">
        <v>21162631.510000002</v>
      </c>
      <c r="G309" s="311">
        <v>21162631.510000002</v>
      </c>
      <c r="I309" s="311">
        <v>1</v>
      </c>
    </row>
    <row r="310" spans="2:9" x14ac:dyDescent="0.35">
      <c r="B310" s="311">
        <v>87</v>
      </c>
      <c r="C310" s="311" t="s">
        <v>63</v>
      </c>
      <c r="D310" s="311" t="s">
        <v>412</v>
      </c>
      <c r="E310" s="311" t="s">
        <v>473</v>
      </c>
      <c r="F310" s="311">
        <v>12850935.25</v>
      </c>
      <c r="G310" s="311">
        <v>12850935.25</v>
      </c>
      <c r="I310" s="311">
        <v>1</v>
      </c>
    </row>
    <row r="311" spans="2:9" x14ac:dyDescent="0.35">
      <c r="B311" s="311">
        <v>88</v>
      </c>
      <c r="C311" s="311" t="s">
        <v>64</v>
      </c>
      <c r="D311" s="311" t="s">
        <v>74</v>
      </c>
      <c r="E311" s="311" t="s">
        <v>80</v>
      </c>
      <c r="F311" s="311">
        <v>14949657.609999999</v>
      </c>
      <c r="G311" s="311">
        <v>15015649.619999999</v>
      </c>
      <c r="I311" s="311">
        <v>2</v>
      </c>
    </row>
    <row r="312" spans="2:9" x14ac:dyDescent="0.35">
      <c r="B312" s="311">
        <v>93</v>
      </c>
      <c r="C312" s="311" t="s">
        <v>83</v>
      </c>
      <c r="D312" s="311" t="s">
        <v>377</v>
      </c>
      <c r="E312" s="311" t="s">
        <v>481</v>
      </c>
      <c r="F312" s="311">
        <v>19582780</v>
      </c>
      <c r="G312" s="311">
        <v>19642780</v>
      </c>
      <c r="I312" s="311">
        <v>1</v>
      </c>
    </row>
    <row r="313" spans="2:9" x14ac:dyDescent="0.35">
      <c r="B313" s="311">
        <v>93</v>
      </c>
      <c r="C313" s="311" t="s">
        <v>83</v>
      </c>
      <c r="D313" s="311" t="s">
        <v>364</v>
      </c>
      <c r="E313" s="311" t="s">
        <v>482</v>
      </c>
      <c r="F313" s="311">
        <v>25219900</v>
      </c>
      <c r="G313" s="311">
        <v>25319900</v>
      </c>
      <c r="I313" s="311">
        <v>1</v>
      </c>
    </row>
    <row r="314" spans="2:9" x14ac:dyDescent="0.35">
      <c r="B314" s="311">
        <v>93</v>
      </c>
      <c r="C314" s="311" t="s">
        <v>83</v>
      </c>
      <c r="D314" s="311" t="s">
        <v>340</v>
      </c>
      <c r="E314" s="311" t="s">
        <v>341</v>
      </c>
      <c r="F314" s="311">
        <v>20566909.460000001</v>
      </c>
      <c r="G314" s="311">
        <v>20566909.460000001</v>
      </c>
      <c r="I314" s="311">
        <v>1</v>
      </c>
    </row>
    <row r="315" spans="2:9" x14ac:dyDescent="0.35">
      <c r="B315" s="311">
        <v>93</v>
      </c>
      <c r="C315" s="311" t="s">
        <v>83</v>
      </c>
      <c r="D315" s="311" t="s">
        <v>302</v>
      </c>
      <c r="E315" s="311" t="s">
        <v>303</v>
      </c>
      <c r="F315" s="311">
        <v>25591223.109999999</v>
      </c>
      <c r="G315" s="311">
        <v>25591223.109999999</v>
      </c>
      <c r="I315" s="311">
        <v>1</v>
      </c>
    </row>
    <row r="316" spans="2:9" x14ac:dyDescent="0.35">
      <c r="B316" s="311">
        <v>93</v>
      </c>
      <c r="C316" s="311" t="s">
        <v>83</v>
      </c>
      <c r="D316" s="311" t="s">
        <v>89</v>
      </c>
      <c r="E316" s="311" t="s">
        <v>368</v>
      </c>
      <c r="F316" s="311">
        <v>15647955.734999999</v>
      </c>
      <c r="G316" s="311">
        <v>15722244.810000001</v>
      </c>
      <c r="I316" s="311">
        <v>2</v>
      </c>
    </row>
    <row r="317" spans="2:9" x14ac:dyDescent="0.35">
      <c r="B317" s="311">
        <v>93</v>
      </c>
      <c r="C317" s="311" t="s">
        <v>83</v>
      </c>
      <c r="D317" s="311" t="s">
        <v>89</v>
      </c>
      <c r="E317" s="311" t="s">
        <v>432</v>
      </c>
      <c r="F317" s="311">
        <v>17589780</v>
      </c>
      <c r="G317" s="311">
        <v>17649780</v>
      </c>
      <c r="I317" s="311">
        <v>1</v>
      </c>
    </row>
    <row r="318" spans="2:9" x14ac:dyDescent="0.35">
      <c r="B318" s="311">
        <v>93</v>
      </c>
      <c r="C318" s="311" t="s">
        <v>83</v>
      </c>
      <c r="D318" s="311" t="s">
        <v>89</v>
      </c>
      <c r="E318" s="311" t="s">
        <v>369</v>
      </c>
      <c r="F318" s="311">
        <v>15465673.885</v>
      </c>
      <c r="G318" s="311">
        <v>15465673.885</v>
      </c>
      <c r="I318" s="311">
        <v>2</v>
      </c>
    </row>
    <row r="319" spans="2:9" x14ac:dyDescent="0.35">
      <c r="B319" s="311">
        <v>93</v>
      </c>
      <c r="C319" s="311" t="s">
        <v>11</v>
      </c>
      <c r="D319" s="311" t="s">
        <v>84</v>
      </c>
      <c r="E319" s="311" t="s">
        <v>366</v>
      </c>
      <c r="F319" s="311">
        <v>19898034.43</v>
      </c>
      <c r="G319" s="311">
        <v>19898034.43</v>
      </c>
      <c r="I319" s="311">
        <v>2</v>
      </c>
    </row>
    <row r="320" spans="2:9" x14ac:dyDescent="0.35">
      <c r="B320" s="311">
        <v>93</v>
      </c>
      <c r="C320" s="311" t="s">
        <v>11</v>
      </c>
      <c r="D320" s="311" t="s">
        <v>84</v>
      </c>
      <c r="E320" s="311" t="s">
        <v>440</v>
      </c>
      <c r="F320" s="311">
        <v>20029683.800000001</v>
      </c>
      <c r="G320" s="311">
        <v>20029683.800000001</v>
      </c>
      <c r="I320" s="311">
        <v>1</v>
      </c>
    </row>
    <row r="321" spans="2:9" x14ac:dyDescent="0.35">
      <c r="B321" s="311">
        <v>93</v>
      </c>
      <c r="C321" s="311" t="s">
        <v>11</v>
      </c>
      <c r="D321" s="311" t="s">
        <v>70</v>
      </c>
      <c r="E321" s="311" t="s">
        <v>83</v>
      </c>
      <c r="F321" s="311">
        <v>23903187.109999999</v>
      </c>
      <c r="G321" s="311">
        <v>24110353.960000001</v>
      </c>
      <c r="I321" s="311">
        <v>1</v>
      </c>
    </row>
    <row r="322" spans="2:9" x14ac:dyDescent="0.35">
      <c r="B322" s="311">
        <v>93</v>
      </c>
      <c r="C322" s="311" t="s">
        <v>11</v>
      </c>
      <c r="D322" s="311" t="s">
        <v>451</v>
      </c>
      <c r="E322" s="311" t="s">
        <v>481</v>
      </c>
      <c r="F322" s="311">
        <v>22445066.609999999</v>
      </c>
      <c r="G322" s="311">
        <v>22656339.100000001</v>
      </c>
      <c r="I322" s="311">
        <v>1</v>
      </c>
    </row>
    <row r="323" spans="2:9" x14ac:dyDescent="0.35">
      <c r="B323" s="311">
        <v>93</v>
      </c>
      <c r="C323" s="311" t="s">
        <v>11</v>
      </c>
      <c r="D323" s="311" t="s">
        <v>451</v>
      </c>
      <c r="E323" s="311" t="s">
        <v>345</v>
      </c>
      <c r="F323" s="311">
        <v>25484941.07</v>
      </c>
      <c r="G323" s="311">
        <v>25557197.829999998</v>
      </c>
      <c r="I323" s="311">
        <v>1</v>
      </c>
    </row>
    <row r="324" spans="2:9" x14ac:dyDescent="0.35">
      <c r="B324" s="311">
        <v>93</v>
      </c>
      <c r="C324" s="311" t="s">
        <v>11</v>
      </c>
      <c r="D324" s="311" t="s">
        <v>362</v>
      </c>
      <c r="E324" s="311" t="s">
        <v>362</v>
      </c>
      <c r="F324" s="311">
        <v>25710682.100000001</v>
      </c>
      <c r="G324" s="311">
        <v>25710682.100000001</v>
      </c>
      <c r="I324" s="311">
        <v>1</v>
      </c>
    </row>
    <row r="325" spans="2:9" x14ac:dyDescent="0.35">
      <c r="B325" s="311">
        <v>93</v>
      </c>
      <c r="C325" s="311" t="s">
        <v>11</v>
      </c>
      <c r="D325" s="311" t="s">
        <v>77</v>
      </c>
      <c r="E325" s="311" t="s">
        <v>82</v>
      </c>
      <c r="F325" s="311">
        <v>20232123.895</v>
      </c>
      <c r="G325" s="311">
        <v>20351003.550000001</v>
      </c>
      <c r="I325" s="311">
        <v>2</v>
      </c>
    </row>
    <row r="326" spans="2:9" x14ac:dyDescent="0.35">
      <c r="B326" s="311">
        <v>93</v>
      </c>
      <c r="C326" s="311" t="s">
        <v>11</v>
      </c>
      <c r="D326" s="311" t="s">
        <v>77</v>
      </c>
      <c r="E326" s="311" t="s">
        <v>454</v>
      </c>
      <c r="F326" s="311">
        <v>19695550</v>
      </c>
      <c r="G326" s="311">
        <v>19795550</v>
      </c>
      <c r="I326" s="311">
        <v>1</v>
      </c>
    </row>
    <row r="327" spans="2:9" x14ac:dyDescent="0.35">
      <c r="B327" s="311">
        <v>93</v>
      </c>
      <c r="C327" s="311" t="s">
        <v>11</v>
      </c>
      <c r="D327" s="311" t="s">
        <v>77</v>
      </c>
      <c r="E327" s="311" t="s">
        <v>483</v>
      </c>
      <c r="F327" s="311">
        <v>17123301.300000001</v>
      </c>
      <c r="G327" s="311">
        <v>17148498.559999999</v>
      </c>
      <c r="I327" s="311">
        <v>1</v>
      </c>
    </row>
    <row r="328" spans="2:9" x14ac:dyDescent="0.35">
      <c r="B328" s="311">
        <v>93</v>
      </c>
      <c r="C328" s="311" t="s">
        <v>11</v>
      </c>
      <c r="D328" s="311" t="s">
        <v>71</v>
      </c>
      <c r="E328" s="311" t="s">
        <v>71</v>
      </c>
      <c r="F328" s="311">
        <v>17592980</v>
      </c>
      <c r="G328" s="311">
        <v>17692980</v>
      </c>
      <c r="I328" s="311">
        <v>1</v>
      </c>
    </row>
    <row r="329" spans="2:9" x14ac:dyDescent="0.35">
      <c r="B329" s="311">
        <v>93</v>
      </c>
      <c r="C329" s="311" t="s">
        <v>11</v>
      </c>
      <c r="D329" s="311" t="s">
        <v>71</v>
      </c>
      <c r="E329" s="311" t="s">
        <v>306</v>
      </c>
      <c r="F329" s="311">
        <v>16540863.619999999</v>
      </c>
      <c r="G329" s="311">
        <v>16540863.619999999</v>
      </c>
      <c r="I329" s="311">
        <v>1</v>
      </c>
    </row>
    <row r="330" spans="2:9" x14ac:dyDescent="0.35">
      <c r="B330" s="311">
        <v>93</v>
      </c>
      <c r="C330" s="311" t="s">
        <v>11</v>
      </c>
      <c r="D330" s="311" t="s">
        <v>71</v>
      </c>
      <c r="E330" s="311" t="s">
        <v>90</v>
      </c>
      <c r="F330" s="311">
        <v>17547338.09</v>
      </c>
      <c r="G330" s="311">
        <v>17734537.370000001</v>
      </c>
      <c r="I330" s="311">
        <v>1</v>
      </c>
    </row>
    <row r="331" spans="2:9" x14ac:dyDescent="0.35">
      <c r="B331" s="311">
        <v>93</v>
      </c>
      <c r="C331" s="311" t="s">
        <v>11</v>
      </c>
      <c r="D331" s="311" t="s">
        <v>71</v>
      </c>
      <c r="E331" s="311" t="s">
        <v>484</v>
      </c>
      <c r="F331" s="311">
        <v>14825992.01</v>
      </c>
      <c r="G331" s="311">
        <v>14825992.01</v>
      </c>
      <c r="I331" s="311">
        <v>1</v>
      </c>
    </row>
    <row r="332" spans="2:9" x14ac:dyDescent="0.35">
      <c r="B332" s="311">
        <v>93</v>
      </c>
      <c r="C332" s="311" t="s">
        <v>11</v>
      </c>
      <c r="D332" s="311" t="s">
        <v>277</v>
      </c>
      <c r="E332" s="311" t="s">
        <v>277</v>
      </c>
      <c r="F332" s="311">
        <v>18099117.66</v>
      </c>
      <c r="G332" s="311">
        <v>18099117.66</v>
      </c>
      <c r="I332" s="311">
        <v>1</v>
      </c>
    </row>
    <row r="333" spans="2:9" x14ac:dyDescent="0.35">
      <c r="B333" s="311">
        <v>93</v>
      </c>
      <c r="C333" s="311" t="s">
        <v>11</v>
      </c>
      <c r="D333" s="311" t="s">
        <v>81</v>
      </c>
      <c r="E333" s="311" t="s">
        <v>365</v>
      </c>
      <c r="F333" s="311">
        <v>16470105.285</v>
      </c>
      <c r="G333" s="311">
        <v>16630204.935000001</v>
      </c>
      <c r="I333" s="311">
        <v>2</v>
      </c>
    </row>
    <row r="334" spans="2:9" x14ac:dyDescent="0.35">
      <c r="B334" s="311">
        <v>93</v>
      </c>
      <c r="C334" s="311" t="s">
        <v>11</v>
      </c>
      <c r="D334" s="311" t="s">
        <v>81</v>
      </c>
      <c r="E334" s="311" t="s">
        <v>309</v>
      </c>
      <c r="F334" s="311">
        <v>15746488.07</v>
      </c>
      <c r="G334" s="311">
        <v>15746488.07</v>
      </c>
      <c r="I334" s="311">
        <v>1</v>
      </c>
    </row>
    <row r="335" spans="2:9" x14ac:dyDescent="0.35">
      <c r="B335" s="311">
        <v>93</v>
      </c>
      <c r="C335" s="311" t="s">
        <v>12</v>
      </c>
      <c r="D335" s="311" t="s">
        <v>12</v>
      </c>
      <c r="E335" s="311" t="s">
        <v>380</v>
      </c>
      <c r="F335" s="311">
        <v>25669702.190000001</v>
      </c>
      <c r="G335" s="311">
        <v>25669702.190000001</v>
      </c>
      <c r="I335" s="311">
        <v>1</v>
      </c>
    </row>
    <row r="336" spans="2:9" x14ac:dyDescent="0.35">
      <c r="B336" s="311">
        <v>93</v>
      </c>
      <c r="C336" s="311" t="s">
        <v>12</v>
      </c>
      <c r="D336" s="311" t="s">
        <v>281</v>
      </c>
      <c r="E336" s="311" t="s">
        <v>485</v>
      </c>
      <c r="F336" s="311">
        <v>19228767.484999999</v>
      </c>
      <c r="G336" s="311">
        <v>23128767.484999999</v>
      </c>
      <c r="I336" s="311">
        <v>2</v>
      </c>
    </row>
    <row r="337" spans="2:9" x14ac:dyDescent="0.35">
      <c r="B337" s="311">
        <v>93</v>
      </c>
      <c r="C337" s="311" t="s">
        <v>12</v>
      </c>
      <c r="D337" s="311" t="s">
        <v>281</v>
      </c>
      <c r="E337" s="311" t="s">
        <v>398</v>
      </c>
      <c r="F337" s="311">
        <v>13988402</v>
      </c>
      <c r="G337" s="311">
        <v>13988402</v>
      </c>
      <c r="I337" s="311">
        <v>1</v>
      </c>
    </row>
    <row r="338" spans="2:9" x14ac:dyDescent="0.35">
      <c r="B338" s="311">
        <v>93</v>
      </c>
      <c r="C338" s="311" t="s">
        <v>12</v>
      </c>
      <c r="D338" s="311" t="s">
        <v>72</v>
      </c>
      <c r="E338" s="311" t="s">
        <v>486</v>
      </c>
      <c r="F338" s="311">
        <v>19413021.93</v>
      </c>
      <c r="G338" s="311">
        <v>19413021.93</v>
      </c>
      <c r="I338" s="311">
        <v>1</v>
      </c>
    </row>
    <row r="339" spans="2:9" x14ac:dyDescent="0.35">
      <c r="B339" s="311">
        <v>93</v>
      </c>
      <c r="C339" s="311" t="s">
        <v>13</v>
      </c>
      <c r="D339" s="311" t="s">
        <v>86</v>
      </c>
      <c r="E339" s="311" t="s">
        <v>331</v>
      </c>
      <c r="F339" s="311">
        <v>14875500</v>
      </c>
      <c r="G339" s="311">
        <v>15159600</v>
      </c>
      <c r="I339" s="311">
        <v>1</v>
      </c>
    </row>
    <row r="340" spans="2:9" x14ac:dyDescent="0.35">
      <c r="B340" s="311">
        <v>93</v>
      </c>
      <c r="C340" s="311" t="s">
        <v>13</v>
      </c>
      <c r="D340" s="311" t="s">
        <v>86</v>
      </c>
      <c r="E340" s="311" t="s">
        <v>293</v>
      </c>
      <c r="F340" s="311">
        <v>18602558.489999998</v>
      </c>
      <c r="G340" s="311">
        <v>18602558.489999998</v>
      </c>
      <c r="I340" s="311">
        <v>1</v>
      </c>
    </row>
    <row r="341" spans="2:9" x14ac:dyDescent="0.35">
      <c r="B341" s="311">
        <v>93</v>
      </c>
      <c r="C341" s="311" t="s">
        <v>13</v>
      </c>
      <c r="D341" s="311" t="s">
        <v>86</v>
      </c>
      <c r="E341" s="311" t="s">
        <v>280</v>
      </c>
      <c r="F341" s="311">
        <v>18028971.614999998</v>
      </c>
      <c r="G341" s="311">
        <v>18176575.420000002</v>
      </c>
      <c r="I341" s="311">
        <v>2</v>
      </c>
    </row>
    <row r="342" spans="2:9" x14ac:dyDescent="0.35">
      <c r="B342" s="311">
        <v>93</v>
      </c>
      <c r="C342" s="311" t="s">
        <v>63</v>
      </c>
      <c r="D342" s="311" t="s">
        <v>275</v>
      </c>
      <c r="E342" s="311" t="s">
        <v>275</v>
      </c>
      <c r="F342" s="311">
        <v>26619514.059999999</v>
      </c>
      <c r="G342" s="311">
        <v>26680014.059999999</v>
      </c>
      <c r="I342" s="311">
        <v>1</v>
      </c>
    </row>
    <row r="343" spans="2:9" x14ac:dyDescent="0.35">
      <c r="B343" s="311">
        <v>93</v>
      </c>
      <c r="C343" s="311" t="s">
        <v>63</v>
      </c>
      <c r="D343" s="311" t="s">
        <v>73</v>
      </c>
      <c r="E343" s="311" t="s">
        <v>487</v>
      </c>
      <c r="F343" s="311">
        <v>12977992.439999999</v>
      </c>
      <c r="G343" s="311">
        <v>13235984.880000001</v>
      </c>
      <c r="I343" s="311">
        <v>1</v>
      </c>
    </row>
    <row r="344" spans="2:9" x14ac:dyDescent="0.35">
      <c r="B344" s="311">
        <v>93</v>
      </c>
      <c r="C344" s="311" t="s">
        <v>63</v>
      </c>
      <c r="D344" s="311" t="s">
        <v>350</v>
      </c>
      <c r="E344" s="311" t="s">
        <v>350</v>
      </c>
      <c r="F344" s="311">
        <v>17845820.379999999</v>
      </c>
      <c r="G344" s="311">
        <v>17845820.379999999</v>
      </c>
      <c r="I344" s="311">
        <v>1</v>
      </c>
    </row>
    <row r="345" spans="2:9" x14ac:dyDescent="0.35">
      <c r="B345" s="311">
        <v>93</v>
      </c>
      <c r="C345" s="311" t="s">
        <v>63</v>
      </c>
      <c r="D345" s="311" t="s">
        <v>350</v>
      </c>
      <c r="E345" s="311" t="s">
        <v>411</v>
      </c>
      <c r="F345" s="311">
        <v>18216903.34</v>
      </c>
      <c r="G345" s="311">
        <v>18216903.34</v>
      </c>
      <c r="I345" s="311">
        <v>1</v>
      </c>
    </row>
    <row r="346" spans="2:9" x14ac:dyDescent="0.35">
      <c r="B346" s="311">
        <v>93</v>
      </c>
      <c r="C346" s="311" t="s">
        <v>63</v>
      </c>
      <c r="D346" s="311" t="s">
        <v>305</v>
      </c>
      <c r="E346" s="311" t="s">
        <v>311</v>
      </c>
      <c r="F346" s="311">
        <v>19744150.809999999</v>
      </c>
      <c r="G346" s="311">
        <v>19927096.745000001</v>
      </c>
      <c r="I346" s="311">
        <v>2</v>
      </c>
    </row>
    <row r="347" spans="2:9" x14ac:dyDescent="0.35">
      <c r="B347" s="311">
        <v>93</v>
      </c>
      <c r="C347" s="311" t="s">
        <v>63</v>
      </c>
      <c r="D347" s="311" t="s">
        <v>332</v>
      </c>
      <c r="E347" s="311" t="s">
        <v>333</v>
      </c>
      <c r="F347" s="311">
        <v>17241620.289999999</v>
      </c>
      <c r="G347" s="311">
        <v>17241620.289999999</v>
      </c>
      <c r="I347" s="311">
        <v>1</v>
      </c>
    </row>
    <row r="348" spans="2:9" x14ac:dyDescent="0.35">
      <c r="B348" s="311">
        <v>93</v>
      </c>
      <c r="C348" s="311" t="s">
        <v>64</v>
      </c>
      <c r="D348" s="311" t="s">
        <v>64</v>
      </c>
      <c r="E348" s="311" t="s">
        <v>308</v>
      </c>
      <c r="F348" s="311">
        <v>17671706.640000001</v>
      </c>
      <c r="G348" s="311">
        <v>17671706.640000001</v>
      </c>
      <c r="I348" s="311">
        <v>1</v>
      </c>
    </row>
    <row r="349" spans="2:9" x14ac:dyDescent="0.35">
      <c r="B349" s="311">
        <v>93</v>
      </c>
      <c r="C349" s="311" t="s">
        <v>64</v>
      </c>
      <c r="D349" s="311" t="s">
        <v>64</v>
      </c>
      <c r="E349" s="311" t="s">
        <v>351</v>
      </c>
      <c r="F349" s="311">
        <v>24255034.52</v>
      </c>
      <c r="G349" s="311">
        <v>24462969.045000002</v>
      </c>
      <c r="I349" s="311">
        <v>2</v>
      </c>
    </row>
    <row r="350" spans="2:9" x14ac:dyDescent="0.35">
      <c r="B350" s="311">
        <v>93</v>
      </c>
      <c r="C350" s="311" t="s">
        <v>64</v>
      </c>
      <c r="D350" s="311" t="s">
        <v>64</v>
      </c>
      <c r="E350" s="311" t="s">
        <v>392</v>
      </c>
      <c r="F350" s="311">
        <v>20730793.109999999</v>
      </c>
      <c r="G350" s="311">
        <v>20730793.109999999</v>
      </c>
      <c r="I350" s="311">
        <v>1</v>
      </c>
    </row>
    <row r="351" spans="2:9" x14ac:dyDescent="0.35">
      <c r="B351" s="311">
        <v>93</v>
      </c>
      <c r="C351" s="311" t="s">
        <v>64</v>
      </c>
      <c r="D351" s="311" t="s">
        <v>374</v>
      </c>
      <c r="E351" s="311" t="s">
        <v>345</v>
      </c>
      <c r="F351" s="311">
        <v>14972012.23</v>
      </c>
      <c r="G351" s="311">
        <v>14972012.23</v>
      </c>
      <c r="I351" s="311">
        <v>1</v>
      </c>
    </row>
    <row r="352" spans="2:9" x14ac:dyDescent="0.35">
      <c r="B352" s="311">
        <v>93</v>
      </c>
      <c r="C352" s="311" t="s">
        <v>64</v>
      </c>
      <c r="D352" s="311" t="s">
        <v>62</v>
      </c>
      <c r="E352" s="311" t="s">
        <v>62</v>
      </c>
      <c r="F352" s="311">
        <v>22015781.390000001</v>
      </c>
      <c r="G352" s="311">
        <v>22015781.390000001</v>
      </c>
      <c r="I352" s="311">
        <v>1</v>
      </c>
    </row>
    <row r="353" spans="2:9" x14ac:dyDescent="0.35">
      <c r="B353" s="311">
        <v>93</v>
      </c>
      <c r="C353" s="311" t="s">
        <v>64</v>
      </c>
      <c r="D353" s="311" t="s">
        <v>62</v>
      </c>
      <c r="E353" s="311" t="s">
        <v>352</v>
      </c>
      <c r="F353" s="311">
        <v>16353429.983333301</v>
      </c>
      <c r="G353" s="311">
        <v>16403413.2733333</v>
      </c>
      <c r="I353" s="311">
        <v>3</v>
      </c>
    </row>
    <row r="354" spans="2:9" x14ac:dyDescent="0.35">
      <c r="B354" s="311">
        <v>93</v>
      </c>
      <c r="C354" s="311" t="s">
        <v>64</v>
      </c>
      <c r="D354" s="311" t="s">
        <v>62</v>
      </c>
      <c r="E354" s="311" t="s">
        <v>353</v>
      </c>
      <c r="F354" s="311">
        <v>15383131.949999999</v>
      </c>
      <c r="G354" s="311">
        <v>15416465.2833333</v>
      </c>
      <c r="I354" s="311">
        <v>3</v>
      </c>
    </row>
    <row r="355" spans="2:9" x14ac:dyDescent="0.35">
      <c r="B355" s="311">
        <v>93</v>
      </c>
      <c r="C355" s="311" t="s">
        <v>64</v>
      </c>
      <c r="D355" s="311" t="s">
        <v>336</v>
      </c>
      <c r="E355" s="311" t="s">
        <v>337</v>
      </c>
      <c r="F355" s="311">
        <v>29012787.375</v>
      </c>
      <c r="G355" s="311">
        <v>29131296.210000001</v>
      </c>
      <c r="I355" s="311">
        <v>2</v>
      </c>
    </row>
    <row r="356" spans="2:9" x14ac:dyDescent="0.35">
      <c r="B356" s="311">
        <v>93</v>
      </c>
      <c r="C356" s="311" t="s">
        <v>64</v>
      </c>
      <c r="D356" s="311" t="s">
        <v>336</v>
      </c>
      <c r="E356" s="311" t="s">
        <v>284</v>
      </c>
      <c r="F356" s="311">
        <v>27166600.969999999</v>
      </c>
      <c r="G356" s="311">
        <v>27405144.25</v>
      </c>
      <c r="I356" s="311">
        <v>1</v>
      </c>
    </row>
    <row r="357" spans="2:9" x14ac:dyDescent="0.35">
      <c r="B357" s="311">
        <v>93</v>
      </c>
      <c r="C357" s="311" t="s">
        <v>64</v>
      </c>
      <c r="D357" s="311" t="s">
        <v>79</v>
      </c>
      <c r="E357" s="311" t="s">
        <v>354</v>
      </c>
      <c r="F357" s="311">
        <v>17483365</v>
      </c>
      <c r="G357" s="311">
        <v>17627365</v>
      </c>
      <c r="I357" s="311">
        <v>2</v>
      </c>
    </row>
    <row r="358" spans="2:9" x14ac:dyDescent="0.35">
      <c r="B358" s="311">
        <v>93</v>
      </c>
      <c r="C358" s="311" t="s">
        <v>64</v>
      </c>
      <c r="D358" s="311" t="s">
        <v>74</v>
      </c>
      <c r="E358" s="311" t="s">
        <v>431</v>
      </c>
      <c r="F358" s="311">
        <v>17017835.504999999</v>
      </c>
      <c r="G358" s="311">
        <v>17227974.440000001</v>
      </c>
      <c r="I358" s="311">
        <v>2</v>
      </c>
    </row>
    <row r="359" spans="2:9" x14ac:dyDescent="0.35">
      <c r="B359" s="311">
        <v>93</v>
      </c>
      <c r="C359" s="311" t="s">
        <v>64</v>
      </c>
      <c r="D359" s="311" t="s">
        <v>334</v>
      </c>
      <c r="E359" s="311" t="s">
        <v>334</v>
      </c>
      <c r="F359" s="311">
        <v>21423385</v>
      </c>
      <c r="G359" s="311">
        <v>21600550</v>
      </c>
      <c r="I359" s="311">
        <v>1</v>
      </c>
    </row>
    <row r="360" spans="2:9" x14ac:dyDescent="0.35">
      <c r="B360" s="311">
        <v>93</v>
      </c>
      <c r="C360" s="311" t="s">
        <v>64</v>
      </c>
      <c r="D360" s="311" t="s">
        <v>335</v>
      </c>
      <c r="E360" s="311" t="s">
        <v>355</v>
      </c>
      <c r="F360" s="311">
        <v>17701759.219999999</v>
      </c>
      <c r="G360" s="311">
        <v>17701759.219999999</v>
      </c>
      <c r="I360" s="311">
        <v>1</v>
      </c>
    </row>
    <row r="361" spans="2:9" x14ac:dyDescent="0.35">
      <c r="B361" s="311">
        <v>93</v>
      </c>
      <c r="C361" s="311" t="s">
        <v>64</v>
      </c>
      <c r="D361" s="311" t="s">
        <v>356</v>
      </c>
      <c r="E361" s="311" t="s">
        <v>356</v>
      </c>
      <c r="F361" s="311">
        <v>17816013.27</v>
      </c>
      <c r="G361" s="311">
        <v>17868903.629999999</v>
      </c>
      <c r="I361" s="311">
        <v>1</v>
      </c>
    </row>
    <row r="362" spans="2:9" x14ac:dyDescent="0.35">
      <c r="B362" s="311">
        <v>93</v>
      </c>
      <c r="C362" s="311" t="s">
        <v>85</v>
      </c>
      <c r="D362" s="311" t="s">
        <v>87</v>
      </c>
      <c r="E362" s="311" t="s">
        <v>91</v>
      </c>
      <c r="F362" s="311">
        <v>21757664.155000001</v>
      </c>
      <c r="G362" s="311">
        <v>21855715.541666701</v>
      </c>
      <c r="I362" s="311">
        <v>6</v>
      </c>
    </row>
    <row r="363" spans="2:9" x14ac:dyDescent="0.35">
      <c r="B363" s="311">
        <v>93</v>
      </c>
      <c r="C363" s="311" t="s">
        <v>85</v>
      </c>
      <c r="D363" s="311" t="s">
        <v>87</v>
      </c>
      <c r="E363" s="311" t="s">
        <v>281</v>
      </c>
      <c r="F363" s="311">
        <v>18660996.940000001</v>
      </c>
      <c r="G363" s="311">
        <v>18687496.940000001</v>
      </c>
      <c r="I363" s="311">
        <v>2</v>
      </c>
    </row>
    <row r="364" spans="2:9" x14ac:dyDescent="0.35">
      <c r="B364" s="311">
        <v>93</v>
      </c>
      <c r="C364" s="311" t="s">
        <v>85</v>
      </c>
      <c r="D364" s="311" t="s">
        <v>87</v>
      </c>
      <c r="E364" s="311" t="s">
        <v>66</v>
      </c>
      <c r="F364" s="311">
        <v>18325211.677000001</v>
      </c>
      <c r="G364" s="311">
        <v>18675908.776999999</v>
      </c>
      <c r="I364" s="311">
        <v>10</v>
      </c>
    </row>
    <row r="365" spans="2:9" x14ac:dyDescent="0.35">
      <c r="B365" s="311">
        <v>93</v>
      </c>
      <c r="C365" s="311" t="s">
        <v>85</v>
      </c>
      <c r="D365" s="311" t="s">
        <v>87</v>
      </c>
      <c r="E365" s="311" t="s">
        <v>75</v>
      </c>
      <c r="F365" s="311">
        <v>19989863.442499999</v>
      </c>
      <c r="G365" s="311">
        <v>20132564.010000002</v>
      </c>
      <c r="I365" s="311">
        <v>4</v>
      </c>
    </row>
    <row r="366" spans="2:9" x14ac:dyDescent="0.35">
      <c r="B366" s="311">
        <v>93</v>
      </c>
      <c r="C366" s="311" t="s">
        <v>85</v>
      </c>
      <c r="D366" s="311" t="s">
        <v>87</v>
      </c>
      <c r="E366" s="311" t="s">
        <v>67</v>
      </c>
      <c r="F366" s="311">
        <v>18690201.123750001</v>
      </c>
      <c r="G366" s="311">
        <v>18762802.196249999</v>
      </c>
      <c r="I366" s="311">
        <v>16</v>
      </c>
    </row>
    <row r="367" spans="2:9" x14ac:dyDescent="0.35">
      <c r="B367" s="311">
        <v>93</v>
      </c>
      <c r="C367" s="311" t="s">
        <v>85</v>
      </c>
      <c r="D367" s="311" t="s">
        <v>87</v>
      </c>
      <c r="E367" s="311" t="s">
        <v>282</v>
      </c>
      <c r="F367" s="311">
        <v>18332802.18</v>
      </c>
      <c r="G367" s="311">
        <v>18332802.18</v>
      </c>
      <c r="I367" s="311">
        <v>1</v>
      </c>
    </row>
    <row r="368" spans="2:9" x14ac:dyDescent="0.35">
      <c r="B368" s="311">
        <v>93</v>
      </c>
      <c r="C368" s="311" t="s">
        <v>85</v>
      </c>
      <c r="D368" s="311" t="s">
        <v>393</v>
      </c>
      <c r="E368" s="311" t="s">
        <v>393</v>
      </c>
      <c r="F368" s="311">
        <v>14443272.9</v>
      </c>
      <c r="G368" s="311">
        <v>14443272.9</v>
      </c>
      <c r="I368" s="311">
        <v>1</v>
      </c>
    </row>
    <row r="369" spans="2:9" x14ac:dyDescent="0.35">
      <c r="B369" s="311">
        <v>93</v>
      </c>
      <c r="C369" s="311" t="s">
        <v>85</v>
      </c>
      <c r="D369" s="311" t="s">
        <v>393</v>
      </c>
      <c r="E369" s="311" t="s">
        <v>488</v>
      </c>
      <c r="F369" s="311">
        <v>20585414.780000001</v>
      </c>
      <c r="G369" s="311">
        <v>20585414.780000001</v>
      </c>
      <c r="I369" s="311">
        <v>1</v>
      </c>
    </row>
    <row r="370" spans="2:9" x14ac:dyDescent="0.35">
      <c r="B370" s="311">
        <v>93</v>
      </c>
      <c r="C370" s="311" t="s">
        <v>85</v>
      </c>
      <c r="D370" s="311" t="s">
        <v>274</v>
      </c>
      <c r="E370" s="311" t="s">
        <v>307</v>
      </c>
      <c r="F370" s="311">
        <v>16748142.27</v>
      </c>
      <c r="G370" s="311">
        <v>16748142.27</v>
      </c>
      <c r="I370" s="311">
        <v>1</v>
      </c>
    </row>
    <row r="371" spans="2:9" x14ac:dyDescent="0.35">
      <c r="B371" s="311">
        <v>93</v>
      </c>
      <c r="C371" s="311" t="s">
        <v>85</v>
      </c>
      <c r="D371" s="311" t="s">
        <v>274</v>
      </c>
      <c r="E371" s="311" t="s">
        <v>357</v>
      </c>
      <c r="F371" s="311">
        <v>18539405.225000001</v>
      </c>
      <c r="G371" s="311">
        <v>18539405.225000001</v>
      </c>
      <c r="I371" s="311">
        <v>2</v>
      </c>
    </row>
    <row r="372" spans="2:9" x14ac:dyDescent="0.35">
      <c r="B372" s="311">
        <v>93</v>
      </c>
      <c r="C372" s="311" t="s">
        <v>85</v>
      </c>
      <c r="D372" s="311" t="s">
        <v>88</v>
      </c>
      <c r="E372" s="311" t="s">
        <v>88</v>
      </c>
      <c r="F372" s="311">
        <v>18562119.251666699</v>
      </c>
      <c r="G372" s="311">
        <v>18582292.356666699</v>
      </c>
      <c r="I372" s="311">
        <v>6</v>
      </c>
    </row>
    <row r="373" spans="2:9" x14ac:dyDescent="0.35">
      <c r="B373" s="311">
        <v>93</v>
      </c>
      <c r="C373" s="311" t="s">
        <v>85</v>
      </c>
      <c r="D373" s="311" t="s">
        <v>88</v>
      </c>
      <c r="E373" s="311" t="s">
        <v>358</v>
      </c>
      <c r="F373" s="311">
        <v>18446541.805</v>
      </c>
      <c r="G373" s="311">
        <v>18557839.5075</v>
      </c>
      <c r="I373" s="311">
        <v>4</v>
      </c>
    </row>
    <row r="374" spans="2:9" x14ac:dyDescent="0.35">
      <c r="B374" s="311">
        <v>93</v>
      </c>
      <c r="C374" s="311" t="s">
        <v>85</v>
      </c>
      <c r="D374" s="311" t="s">
        <v>88</v>
      </c>
      <c r="E374" s="311" t="s">
        <v>288</v>
      </c>
      <c r="F374" s="311">
        <v>18549943.079999998</v>
      </c>
      <c r="G374" s="311">
        <v>18609936.75</v>
      </c>
      <c r="I374" s="311">
        <v>1</v>
      </c>
    </row>
    <row r="375" spans="2:9" x14ac:dyDescent="0.35">
      <c r="B375" s="311">
        <v>101</v>
      </c>
      <c r="C375" s="311" t="s">
        <v>83</v>
      </c>
      <c r="D375" s="311" t="s">
        <v>360</v>
      </c>
      <c r="E375" s="311" t="s">
        <v>489</v>
      </c>
      <c r="F375" s="311">
        <v>20271507.82</v>
      </c>
      <c r="G375" s="311">
        <v>20271507.82</v>
      </c>
      <c r="I375" s="311">
        <v>1</v>
      </c>
    </row>
    <row r="376" spans="2:9" x14ac:dyDescent="0.35">
      <c r="B376" s="311">
        <v>101</v>
      </c>
      <c r="C376" s="311" t="s">
        <v>11</v>
      </c>
      <c r="D376" s="311" t="s">
        <v>11</v>
      </c>
      <c r="E376" s="311" t="s">
        <v>83</v>
      </c>
      <c r="F376" s="311">
        <v>22418494.899999999</v>
      </c>
      <c r="G376" s="311">
        <v>22418494.899999999</v>
      </c>
      <c r="I376" s="311">
        <v>1</v>
      </c>
    </row>
    <row r="377" spans="2:9" x14ac:dyDescent="0.35">
      <c r="B377" s="311">
        <v>101</v>
      </c>
      <c r="C377" s="311" t="s">
        <v>85</v>
      </c>
      <c r="D377" s="311" t="s">
        <v>270</v>
      </c>
      <c r="E377" s="311" t="s">
        <v>469</v>
      </c>
      <c r="F377" s="311">
        <v>13950000</v>
      </c>
      <c r="G377" s="311">
        <v>14332426.25</v>
      </c>
      <c r="I377" s="311">
        <v>1</v>
      </c>
    </row>
    <row r="378" spans="2:9" x14ac:dyDescent="0.35">
      <c r="B378" s="311">
        <v>117</v>
      </c>
      <c r="C378" s="311" t="s">
        <v>11</v>
      </c>
      <c r="D378" s="311" t="s">
        <v>77</v>
      </c>
      <c r="E378" s="311" t="s">
        <v>82</v>
      </c>
      <c r="F378" s="311">
        <v>19723611.120000001</v>
      </c>
      <c r="G378" s="311">
        <v>19723611.120000001</v>
      </c>
      <c r="I378" s="311">
        <v>1</v>
      </c>
    </row>
    <row r="379" spans="2:9" x14ac:dyDescent="0.35">
      <c r="B379" s="311">
        <v>117</v>
      </c>
      <c r="C379" s="311" t="s">
        <v>11</v>
      </c>
      <c r="D379" s="311" t="s">
        <v>77</v>
      </c>
      <c r="E379" s="311" t="s">
        <v>456</v>
      </c>
      <c r="F379" s="311">
        <v>18370982.420000002</v>
      </c>
      <c r="G379" s="311">
        <v>18370982.420000002</v>
      </c>
      <c r="I379" s="311">
        <v>2</v>
      </c>
    </row>
    <row r="380" spans="2:9" x14ac:dyDescent="0.35">
      <c r="B380" s="311">
        <v>117</v>
      </c>
      <c r="C380" s="311" t="s">
        <v>11</v>
      </c>
      <c r="D380" s="311" t="s">
        <v>277</v>
      </c>
      <c r="E380" s="311" t="s">
        <v>277</v>
      </c>
      <c r="F380" s="311">
        <v>14992146.74</v>
      </c>
      <c r="G380" s="311">
        <v>14992146.74</v>
      </c>
      <c r="I380" s="311">
        <v>1</v>
      </c>
    </row>
    <row r="381" spans="2:9" x14ac:dyDescent="0.35">
      <c r="B381" s="311">
        <v>117</v>
      </c>
      <c r="C381" s="311" t="s">
        <v>63</v>
      </c>
      <c r="D381" s="311" t="s">
        <v>73</v>
      </c>
      <c r="E381" s="311" t="s">
        <v>363</v>
      </c>
      <c r="F381" s="311">
        <v>18029506.219999999</v>
      </c>
      <c r="G381" s="311">
        <v>18029506.219999999</v>
      </c>
      <c r="I381" s="311">
        <v>1</v>
      </c>
    </row>
    <row r="382" spans="2:9" x14ac:dyDescent="0.35">
      <c r="B382" s="311">
        <v>117</v>
      </c>
      <c r="C382" s="311" t="s">
        <v>63</v>
      </c>
      <c r="D382" s="311" t="s">
        <v>371</v>
      </c>
      <c r="E382" s="311" t="s">
        <v>477</v>
      </c>
      <c r="F382" s="311">
        <v>13879155.970000001</v>
      </c>
      <c r="G382" s="311">
        <v>13921284.41</v>
      </c>
      <c r="I382" s="311">
        <v>1</v>
      </c>
    </row>
    <row r="383" spans="2:9" x14ac:dyDescent="0.35">
      <c r="B383" s="311">
        <v>117</v>
      </c>
      <c r="C383" s="311" t="s">
        <v>64</v>
      </c>
      <c r="D383" s="311" t="s">
        <v>374</v>
      </c>
      <c r="E383" s="311" t="s">
        <v>476</v>
      </c>
      <c r="F383" s="311">
        <v>12940770.51</v>
      </c>
      <c r="G383" s="311">
        <v>13035386.439999999</v>
      </c>
      <c r="I383" s="311">
        <v>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2025</vt:lpstr>
      <vt:lpstr>Resumen</vt:lpstr>
      <vt:lpstr>_20._Ejecución_Presupuesto_2022___Por_programa_de_financiamiento</vt:lpstr>
      <vt:lpstr>'Estadisticas 2025'!Área_de_impresión</vt:lpstr>
      <vt:lpstr>Indice!Área_de_impresión</vt:lpstr>
      <vt:lpstr>'Estadisticas 2025'!Títulos_a_imprimir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2025-03-17T15:41:44Z</dcterms:modified>
</cp:coreProperties>
</file>